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 NIÑO\Documents\SEFIN\TRANSPARENCIA\TRANSPARENCIA PRESUPUESTARIA\2025\2DO TRIMESTRE\GEORREFERENCIAS DE LA INV PUB\"/>
    </mc:Choice>
  </mc:AlternateContent>
  <xr:revisionPtr revIDLastSave="0" documentId="13_ncr:1_{8BB8CB4B-32BB-442C-8AE1-88C584655E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men" sheetId="2" r:id="rId1"/>
    <sheet name="Georreferencias" sheetId="1" r:id="rId2"/>
  </sheets>
  <definedNames>
    <definedName name="_xlnm.Print_Titles" localSheetId="1">Georreferencias!$1:$4</definedName>
    <definedName name="_xlnm.Print_Titles" localSheetId="0">Resumen!$1:$4</definedName>
  </definedNames>
  <calcPr calcId="191029"/>
</workbook>
</file>

<file path=xl/calcChain.xml><?xml version="1.0" encoding="utf-8"?>
<calcChain xmlns="http://schemas.openxmlformats.org/spreadsheetml/2006/main">
  <c r="L4029" i="1" l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<sst xmlns="http://schemas.openxmlformats.org/spreadsheetml/2006/main" count="36277" uniqueCount="1648">
  <si>
    <t>UNIDAD RESPONSABLE</t>
  </si>
  <si>
    <t>532 - INSTITUTO OAXAQUEÑO CONSTRUCTOR DE INFRAESTRUCTURA EDUCATIVA</t>
  </si>
  <si>
    <t>541 - SISTEMA PARA EL DESARROLLO INTEGRAL DE LA FAMILIA DEL ESTADO DE OAXACA</t>
  </si>
  <si>
    <t>540 - SERVICIOS DE SALUD DE OAXACA</t>
  </si>
  <si>
    <t>512 - COMISIÓN ESTATAL DEL AGUA PARA EL BIENESTAR</t>
  </si>
  <si>
    <t>112 - SECRETARÍA DE INTERCULTURALIDAD, PUEBLOS Y COMUNIDADES INDÍGENAS Y AFROMEXICANAS</t>
  </si>
  <si>
    <t>113 - SECRETARÍA DE FOMENTO AGROALIMENTARIO Y DESARROLLO RURAL</t>
  </si>
  <si>
    <t>106 - SECRETARÍA DE INFRAESTRUCTURAS Y COMUNICACIONES</t>
  </si>
  <si>
    <t>601 - FIDEICOMISO PARA EL DESARROLLO LOGÍSTICO DEL ESTADO DE OAXACA</t>
  </si>
  <si>
    <t>117 - SECRETARÍA DE ADMINISTRACIÓN</t>
  </si>
  <si>
    <t>568 - SISTEMA DE TRANSPORTE COLECTIVO METROPOLITANO CITYBUS OAXACA</t>
  </si>
  <si>
    <t>513 - COMISIÓN ESTATAL FORESTAL</t>
  </si>
  <si>
    <t>111 - SECRETARÍA DE BIENESTAR, TEQUIO E INCLUSIÓN</t>
  </si>
  <si>
    <t>UNIDAD EJECUTORA</t>
  </si>
  <si>
    <t>532001 - INSTITUTO OAXAQUEÑO CONSTRUCTOR DE INFRAESTRUCTURA EDUCATIVA</t>
  </si>
  <si>
    <t>541001 - SISTEMA PARA EL DESARROLLO INTEGRAL DE LA FAMILIA DEL ESTADO DE OAXACA</t>
  </si>
  <si>
    <t>540001 - DIRECCIÓN GENERAL DE SERVICIOS DE SALUD</t>
  </si>
  <si>
    <t>512001 - COMISIÓN ESTATAL DEL AGUA PARA EL BIENESTAR</t>
  </si>
  <si>
    <t>112001 - OFICINA DEL SECRETARIO DE INTERCULTURALIDAD, PUEBLOS Y COMUNIDADES INDIGENAS Y AFROMEXICANAS</t>
  </si>
  <si>
    <t>113001 - OFICINA DEL SECRETARIO DE FOMENTO AGROALIMENTARIO Y DESARROLLO RURAL</t>
  </si>
  <si>
    <t>106001 - OFICINA DEL SECRETARIO DE INFRAESTRUCTURAS Y COMUNICACIONES</t>
  </si>
  <si>
    <t>601001 - FIDEICOMISO PARA EL DESARROLLO LOGÍSTICO DEL ESTADO DE OAXACA</t>
  </si>
  <si>
    <t>117001 - OFICINA DEL SECRETARIO DE ADMINISTRACIÓN</t>
  </si>
  <si>
    <t>568001 - SISTEMA DE TRANSPORTE COLECTIVO METROPOLITANO CITYBUS OAXACA</t>
  </si>
  <si>
    <t>513001 - COMISIÓN ESTATAL FORESTAL</t>
  </si>
  <si>
    <t>111001 - OFICINA DEL SECRETARIO DE BIENESTAR, TEQUIO  E INCLUSIÓN</t>
  </si>
  <si>
    <t>NOMBRE ACTIVIDAD</t>
  </si>
  <si>
    <t>REPARACIONES GENERALES EN ESCUELA PRIMARIA "BENITO JUÁREZ" CON CLAVE ESCOLAR: 20DPR1137D, EN LA LOCALIDAD DE SANTO DOMINGO NUNDÓ, MUNICIPIO VILLA DE CHILAPA DE DÍAZ.</t>
  </si>
  <si>
    <t>CONSTRUCCIÓN DE TECHADO EN ÁREA DE IMPARTICIÓN DE EDUCACIÓN FÍSICA EN JARDÍN DE NIÑOS "GABRIELA MISTRAL" CON CLAVE ESCOLAR: 20DJN0263D, EN LA LOCALIDAD SANTIAGO TAPEXTLA, MUNICIPIO SANTIAGO TAPEXTLA</t>
  </si>
  <si>
    <t>CONSTRUCCIÓN DE AULA EN ESCUELA TELESECUNDARIA CON CLAVE ESCOLAR: 20DTV1650S, EN LA LOCALIDAD GUADALUPE DEL TAMBOR, MUNICIPIO SANTIAGO TETEPEC.</t>
  </si>
  <si>
    <t>CONSTRUCCIÓN DE AULA EN ESCUELA PRIMARIA "JOSEFA O. DE DOMÍNGUEZ" CON CLAVE ESCOLAR: 20DPR2016Z, EN LA LOCALIDAD LAGUNILLAS, MUNICIPIO SANTO DOMINGO ARMENTA</t>
  </si>
  <si>
    <t>REPARACIONES GENERALES EN ESCUELA PRIMARIA "MELCHOR OCAMPO" CON CLAVE ESCOLAR: 20DPB0491N, EN LA LOCALIDAD EMILIO PORTES GIL, MUNICIPIO SANTO TOMÁS OCOTEPEC.</t>
  </si>
  <si>
    <t>CONSTRUCCIÓN DE AULA EN JARDÍN DE NIÑOS INDÍGENA "BENITO JUÁREZ" CON CLAVE ESCOLAR: 20DCC1041L, EN LA LOCALIDAD SAN PABLO GUILÁ, MUNICIPIO DE SANTIAGO MATATLÁN</t>
  </si>
  <si>
    <t>CONSTRUCCIÓN DE AULA EN JARDÍN DE NIÑOS INDÍGENA  "NIÑOS HÉROES" CON CLAVE ESCOLAR: 20DCC0502Y, EN LA LOCALIDAD SAN BARTOLOMÉ QUIALANA, MUNICIPIO SAN BARTOLOMÉ QUIALANA</t>
  </si>
  <si>
    <t>CONSTRUCCIÓN DE AULA EN ESCUELA SECUNDARIA TÉCNICA NÚM. 230 CON CLAVE ESCOLAR: 20DST0247O, EN LA LOCALIDAD SANTA ANA DEL VALLE, MUNICIPIO SANTA ANA DEL VALLE</t>
  </si>
  <si>
    <t>CONSTRUCCIÓN DE TECHADO EN ÁREA DE IMPARTICIÓN DE EDUCACIÓN FÍSICA EN ESCUELA TELESECUNDARIA CON CLAVE ESCOLAR: 20DTV1081R, EN LA LOCALIDAD CAÑADA DEL TOTOMOXTLE, MUNICIPIO SAN SEBASTIÁN IXCAPA</t>
  </si>
  <si>
    <t>ORIENTACIÓN Y EDUCACIÓN ALIMENTARIA (NUTRIR CON AMOR)</t>
  </si>
  <si>
    <t>EQUIPAMIENTO DEL HOSPITAL GENERAL AURELIO VALDIVIESO (ESTERILIZADOR)</t>
  </si>
  <si>
    <t>ADQUISICIÓN DE DESFIBRILADORES (DIRECCIÓN DE PREVENCIÓN Y PROMOCIÓN DE LA SALUD)</t>
  </si>
  <si>
    <t>PROGRAMA EMERGENTE PARA LA ATENCIÓN DE ÁREAS VULNERABLES DE AGUA POTABLE PARA USO Y CONSUMO HUMANO EN EL ESTADO DE OAXACA</t>
  </si>
  <si>
    <t>EQUIPAMIENTO PARA EL INSTITUTO TECNOLÓGICO DEL VALLE DE ETLA CON CLAVE ESCOLAR: 20DIT0007I</t>
  </si>
  <si>
    <t>EQUIPAMIENTO DE CINCO AULAS DIDÁCTICAS PARA EL INSTITUTO TECNOLÓGICO SUPERIOR DE TEPOSCOLULA CON CLAVE ESCOLAR: 20EIT0003L</t>
  </si>
  <si>
    <t>EQUIPAMIENTO PARA EL INSTITUTO TECNOLÓGICO DEL ISTMO CON CLAVE ESCOLAR: 20DIT0003M</t>
  </si>
  <si>
    <t>EQUIPAMIENTO PARA EL INSTITUTO TECNOLÓGICO DEL POCHUTLA CON CLAVE ESCOLAR: 20DIT0011V</t>
  </si>
  <si>
    <t>PRESERVACIÓN Y CONSERVACIÓN DE LAS MANIFESTACIONES CULTURALES Y ARTÍSTICAS DE LOS PUEBLOS Y COMUNIDADES INDÍGENAS Y AFROMEXICANOS EN JUCHITÁN DE ZARAGOZA 2025</t>
  </si>
  <si>
    <t>COMPRA DE INSUMOS AGRÍCOLAS PARA CULTIVO DE MAÍZ DEL PROGRAMA AUTOSUFICIENCIA ALIMENTARIA</t>
  </si>
  <si>
    <t>COMPRA DE INSUMOS AGRÍCOLAS PARA CULTIVO DE MAÍZ DEL PROGRAMA ABASTO SEGURO DE MAÍZ</t>
  </si>
  <si>
    <t>CONVENIO DE COLABORACIÓN INSTITUCIONAL PARA LA OPERACIÓN Y EJECUCIÓN DE RECURSOS ESTATALES MEDIANTE EL FONDO DE GARANTÍAS LÍQUIDAS PARA EL SECTOR AGROALIMENTARIO Y AGROINDUCTRIAL EN EL MARCO DEL PROGRAMA DE AGRONEGOCIOS, PREVISTO EN EL PRESUPUESTO DE EGRESOS DEL ESTADO DE OAXACA PARA EL EJERCICIO FISCAL 2025</t>
  </si>
  <si>
    <t>SERVICIOS PROFESIONALES DE ACOMPAÑAMIENTO TÉCNICO DEL PROGRAMA AGRONEGOCIOS</t>
  </si>
  <si>
    <t>CONSTRUCCIÓN DE PAVIMENTO A BASE DE CONCRETO HIDRÁULICO EN LA CALLE A LA TELESECUNDARIA EN LA LOCALIDAD LLANO CRUCERO, MUNICIPIO DE SANTO DOMINGO TEPUXTEPEC, (PRIMERA ETAPA)</t>
  </si>
  <si>
    <t>INGENIERÍA BÁSICA Y ANTEPROYECTO DE LA PRESA "PASO ANCHO", PARA EL ÁREA METROPOLITANA DE OAXACA</t>
  </si>
  <si>
    <t>MANTENIMIENTO INTEGRAL DE LOS SERVICIOS DE AGUA POTABLE, SANEAMIENTO, RESIDUOS SÓLIDOS, RELLENO SANITARIO E INFRAESTRUCTURA URBANA DEL CIP HUATULCO</t>
  </si>
  <si>
    <t>MANTENIMIENTO PREVENTIVO Y CORRECTIVO A LAS INSTALACIONES DEL AUDITORIO GUELAGUETZA 2025.</t>
  </si>
  <si>
    <t>ELABORACIÓN DE ESTUDIOS TÉCNICOS PARA LA IMPLEMENTACIÓN Y OPERACIÓN DEL SISTEMA INTEGRADO DE TRANSPORTE PÚBLICO EN OAXACA.</t>
  </si>
  <si>
    <t>SERVICIO PARA EL MONITOREO, SOPORTE TÉCNICO Y ASISTENCIA DEL FUNCIONAMIENTO Y OPERACIÓN DE LOS MÓDULOS DE CARGA Y RECARGA DEL SISTEMA INTEGRAL DE TRANSPORTE COLECTIVO METROPOLITANO CITYBUS OAXACA</t>
  </si>
  <si>
    <t>LIQUIDACIÓN DE INCENDIOS FORESTALES DE ATENCIÓN ESPECIAL EN EL ESTADO</t>
  </si>
  <si>
    <t>PROGRAMA DE ATENCIÓN A LA POBLACIÓN CON CARENCIA POR ACCESO A LOS SERVICIOS DE SALUD "FARMACIAS BIENESTAR", PARA EL EJERCICIO FISCAL 2025. (PRIMERA ETAPA)</t>
  </si>
  <si>
    <t>PROGRAMA DE ATENCIÓN A LA POBLACIÓN CON CARENCIA POR ACCESO A LOS SERVICIOS DE SALUD "FARMACIAS BIENESTAR", PARA EL EJERCICIO FISCAL 2025. (SEGUNDA ETAPA)</t>
  </si>
  <si>
    <t>PROGRAMA DE ATENCIÓN A LA POBLACIÓN CON CARENCIA POR ACCESO A LOS SERVICIOS DE SALUD "FARMACIAS BIENESTAR", PARA EL EJERCICIO FISCAL 2025. AMPLIACIÓN</t>
  </si>
  <si>
    <t>CONSTRUCCIÓN DE AULA EN CENTRO DE EDUCACIÓN INICIAL INDÍGENA CON CLAVE ESCOLAR: 20DIN0566I, EN LA LOCALIDAD SAN PEDRO TULIXTLAHUACA, MUNICIPIO SAN ANTONIO TEPETLAPA.</t>
  </si>
  <si>
    <t>VERTIENTE</t>
  </si>
  <si>
    <t>EDI - EDUCACION E INVESTIGACION</t>
  </si>
  <si>
    <t>ASS - ASISTENCIA SOCIAL</t>
  </si>
  <si>
    <t>SAL - SALUD</t>
  </si>
  <si>
    <t>AGP - AGUA POTABLE</t>
  </si>
  <si>
    <t>CUL - CULTURA Y ARTE</t>
  </si>
  <si>
    <t>AGR - DESARROLLO AGRICOLA</t>
  </si>
  <si>
    <t>URB - URBANIZACION</t>
  </si>
  <si>
    <t>TUR - DESARROLLO TURISTICO</t>
  </si>
  <si>
    <t>CCP - CARRETERAS, CAMINOS Y PUENTES</t>
  </si>
  <si>
    <t>IGU - INFRAESTRUCTURA GUBERNAMENTAL</t>
  </si>
  <si>
    <t>FOR - DESARROLLO FORESTAL</t>
  </si>
  <si>
    <t>REGION</t>
  </si>
  <si>
    <t>04 - MIXTECA</t>
  </si>
  <si>
    <t>02 - COSTA</t>
  </si>
  <si>
    <t>08 - VALLES CENTRALES</t>
  </si>
  <si>
    <t>09 - COBERTURA ESTATAL</t>
  </si>
  <si>
    <t>03 - ISTMO</t>
  </si>
  <si>
    <t>06 - SIERRA DE JUÁREZ</t>
  </si>
  <si>
    <t>07 - SIERRA SUR</t>
  </si>
  <si>
    <t>DISTRITO</t>
  </si>
  <si>
    <t>09 - TEPOSCOLULA</t>
  </si>
  <si>
    <t>21 - JAMILTEPEC</t>
  </si>
  <si>
    <t>16 - TLAXIACO</t>
  </si>
  <si>
    <t>20 - TLACOLULA</t>
  </si>
  <si>
    <t>99 - COBERTURA ESTATAL</t>
  </si>
  <si>
    <t>19 - CENTRO</t>
  </si>
  <si>
    <t>11 - ETLA</t>
  </si>
  <si>
    <t>29 - JUCHITÁN</t>
  </si>
  <si>
    <t>30 - POCHUTLA</t>
  </si>
  <si>
    <t>14 - MIXE</t>
  </si>
  <si>
    <t>23 - SOLA DE VEGA</t>
  </si>
  <si>
    <t>MUNICIPIO</t>
  </si>
  <si>
    <t>405 - VILLA DE CHILAPA DE DÍAZ</t>
  </si>
  <si>
    <t>485 - SANTIAGO TAPEXTLA</t>
  </si>
  <si>
    <t>489 - SANTIAGO TETEPEC</t>
  </si>
  <si>
    <t>507 - SANTO DOMINGO ARMENTA</t>
  </si>
  <si>
    <t>532 - SANTO TOMÁS OCOTEPEC</t>
  </si>
  <si>
    <t>475 - SANTIAGO MATATLÁN</t>
  </si>
  <si>
    <t>118 - SAN BARTOLOMÉ QUIALANA</t>
  </si>
  <si>
    <t>356 - SANTA ANA DEL VALLE</t>
  </si>
  <si>
    <t>345 - SAN SEBASTIÁN IXCAPA</t>
  </si>
  <si>
    <t>999 - COBERTURA ESTATAL</t>
  </si>
  <si>
    <t>067 - OAXACA DE JUÁREZ</t>
  </si>
  <si>
    <t>115 - SAN BARTOLO COYOTEPEC</t>
  </si>
  <si>
    <t>483 - SANTIAGO SUCHILQUITONGO</t>
  </si>
  <si>
    <t>339 - SAN PEDRO Y SAN PABLO TEPOSCOLULA</t>
  </si>
  <si>
    <t>043 - JUCHITÁN DE ZARAGOZA</t>
  </si>
  <si>
    <t>324 - SAN PEDRO POCHUTLA</t>
  </si>
  <si>
    <t>517 - SANTO DOMINGO TEPUXTEPEC</t>
  </si>
  <si>
    <t>277 - VILLA SOLA DE VEGA</t>
  </si>
  <si>
    <t>413 - SANTA MARÍA HUATULCO</t>
  </si>
  <si>
    <t>385 - SANTA CRUZ XOXOCOTLÁN</t>
  </si>
  <si>
    <t>111 - SAN ANTONIO TEPETLAPA</t>
  </si>
  <si>
    <t>LOCALIDAD</t>
  </si>
  <si>
    <t>0005 - Santo Domingo Nundó</t>
  </si>
  <si>
    <t>0001 - Santiago Tapextla</t>
  </si>
  <si>
    <t>0004 - Guadalupe del Tambor</t>
  </si>
  <si>
    <t>0016 - Lagunillas</t>
  </si>
  <si>
    <t>0005 - Emilio Portes Gil</t>
  </si>
  <si>
    <t>0005 - San Pablo Guilá</t>
  </si>
  <si>
    <t>0001 - San Bartolomé Quialana</t>
  </si>
  <si>
    <t>0001 - Santa Ana del Valle</t>
  </si>
  <si>
    <t>0003 - Cañada del Totomoxtle</t>
  </si>
  <si>
    <t>9999 - COBERTURA ESTATAL</t>
  </si>
  <si>
    <t>0001 - Oaxaca de Juárez</t>
  </si>
  <si>
    <t>0002 - Reyes Mantecón</t>
  </si>
  <si>
    <t>0001 - Santiago Suchilquitongo</t>
  </si>
  <si>
    <t>0001 - San Pedro y San Pablo Teposcolula</t>
  </si>
  <si>
    <t>0001 - HEROICA CIUDAD DE JUCHITÁN DE ZARAGOZA</t>
  </si>
  <si>
    <t>0001 - San Pedro Pochutla</t>
  </si>
  <si>
    <t>0005 - Llano Crucero</t>
  </si>
  <si>
    <t>0073 - Rancho Viejo</t>
  </si>
  <si>
    <t>0021 - Bahía de Santa Cruz Huatulco</t>
  </si>
  <si>
    <t>0051 - Viguera</t>
  </si>
  <si>
    <t>0086 - Aeropuerto de Oaxaca</t>
  </si>
  <si>
    <t>0003 - San Pedro Tulixtlahuaca</t>
  </si>
  <si>
    <t>TIPO AREA GEOGRÁFICA</t>
  </si>
  <si>
    <t>PUNTO</t>
  </si>
  <si>
    <t>POLIGONO</t>
  </si>
  <si>
    <t>LATITUD</t>
  </si>
  <si>
    <t>LONGITUD</t>
  </si>
  <si>
    <t>CONSULTAR</t>
  </si>
  <si>
    <t>EQUIPAMIENTO PARA EL FORTALECIMIENTO DEL CENTRO DE SALUD DE LA LOCALIDAD DE SAN LORENZO CACAOTEPEC</t>
  </si>
  <si>
    <t>227 - SAN LORENZO CACAOTEPEC</t>
  </si>
  <si>
    <t>0001 - San Lorenzo Cacaotepec</t>
  </si>
  <si>
    <t>EQUIPAMIENTO DE LA RED DE MICROSCOPIA PARA EL DIAGNÓSTICO DE PALUDISMO EN OAXACA (DIRECCION DE PREVENCIÓN Y PROMOCIÓN)</t>
  </si>
  <si>
    <t>CONSTRUCCIÓN DE UN ANEXO EN JARDÍN DE NIÑOS INDÍGENA “JUSTO SIERRA” CON CLAVE ESCOLAR: 20DCC1414K, EN LA LOCALIDAD SAN PABLO GUILÁ , MUNICIPIO SANTIAGO MATATLÁN</t>
  </si>
  <si>
    <t>CONSTRUCCIÓN DE AULAS EN ESCUELA PRIMARIA "TIERRA Y LIBERTAD" CON CLAVE ESCOLAR: 20DPR3384Z, EN LA LOCALIDAD SAN PEDRO MÁRTIR, MUNICIPIO SAN PEDRO MÁRTIR</t>
  </si>
  <si>
    <t>25 - OCOTLÁN</t>
  </si>
  <si>
    <t>315 - SAN PEDRO MÁRTIR</t>
  </si>
  <si>
    <t>0001 - San Pedro Mártir</t>
  </si>
  <si>
    <t>REPARACIONES GENERALES EN ESCUELA PRIMARIA "AMADO NERVO" CON CLAVE ESCOLAR: 20DPR1226X, EN LA LOCALIDAD SANTIAGO APÓSTOL, MUNICIPIO DE SANTIAGO APÓSTOL</t>
  </si>
  <si>
    <t>452 - SANTIAGO APÓSTOL</t>
  </si>
  <si>
    <t>0001 - Santiago Apóstol</t>
  </si>
  <si>
    <t>CONSTRUCCIÓN DE ANEXO EN ESCUELA PRMARIA "BENITO JUÁREZ" CON CLAVE ESCOLAR: 20DPR0080M, EN LA LOCALIDAD LA COMPAÑÍA, MUNICIPIO LA COMPAÑÍA.</t>
  </si>
  <si>
    <t>24 - EJUTLA</t>
  </si>
  <si>
    <t>017 - LA COMPAÑÍA</t>
  </si>
  <si>
    <t>0001 - La Compañía</t>
  </si>
  <si>
    <t>CONSTRUCCIÓN DE AULA EN JARDÍN DE NIÑOS "SOR JUANA INÉS DE LA CRUZ" CON CLAVE ESCOLAR: 20DJN0216T, EN LA LOCALIDAD LA COMPAÑÍA, MUNICIPIO LA COMPAÑÍA.</t>
  </si>
  <si>
    <t>EQUIPAMIENTO PARA LA ESCUELA PRIMARIA "VICENTE GUERRERO" CON CLAVE ESCOLAR: 20DPR1143O EN LA LOCALIDAD SANTA MARÍA DEL TULE, MUNICIPIO SANTA MARÍA DEL TULE</t>
  </si>
  <si>
    <t>409 - SANTA MARÍA DEL TULE</t>
  </si>
  <si>
    <t>0001 - Santa María del Tule</t>
  </si>
  <si>
    <t>CONSTRUCCIÓN DE AULA EN ESCUELA TELESECUNDARIA CON CLAVE ESCOLAR: 20DTV0082J, EN LA LOCALIDAD CONCEPCIÓN PÁPALO, MUNICIPIO CONCEPCIÓN PÁPALO.</t>
  </si>
  <si>
    <t>01 - SIERRA DE FLORES MAGÓN</t>
  </si>
  <si>
    <t>05 - CUICATLÁN</t>
  </si>
  <si>
    <t>019 - CONCEPCIÓN PÁPALO</t>
  </si>
  <si>
    <t>0001 - Concepción Pápalo</t>
  </si>
  <si>
    <t>EQUIPAMIENTO PARA LA ESCUELA PRIMARIA "REYES Y GARCÍA" CON CLAVE ESCOLAR: 20DPR0748X EN LA LOCALIDAD DE SAN AGUSTÍN AMATENGO MUNICIPIO DE SAN AGUSTÍN AMATENGO</t>
  </si>
  <si>
    <t>080 - SAN AGUSTÍN AMATENGO</t>
  </si>
  <si>
    <t>0001 - San Agustín Amatengo</t>
  </si>
  <si>
    <t>CONSTRUCCIÓN DE UN ANEXO EN JARDÍN DE NIÑOS INDÍGENA “EMILIANO ZAPATA” CON CLAVE ESCOLAR: 20DCC0067M, EN LA LOCALIDAD SAN PEDRO JALTEPETONGO, MUNICIPIO SAN PEDRO JALTEPETONGO.</t>
  </si>
  <si>
    <t>311 - SAN PEDRO JALTEPETONGO</t>
  </si>
  <si>
    <t>0001 - San Pedro Jaltepetongo</t>
  </si>
  <si>
    <t>EQUIPAMIENTO PARA ESCUELA SECUNDARIA TECNICA NÚM. 147 CON CLAVE ESCOLAR: 20DST0163G, EN LA LOCALIDAD DE SAN SEBASTIÁN ABASOLO, MUNICIPIO SAN SEBASTIÁN ABASOLO .</t>
  </si>
  <si>
    <t>343 - SAN SEBASTIÁN ABASOLO</t>
  </si>
  <si>
    <t>0001 - San Sebastián Abasolo</t>
  </si>
  <si>
    <t>CONSTRUCCIÓN DE AULA EN JARDÍN DE NIÑOS INDÍGENA "BENITO JUÁREZ" CON CLAVE ESCOLAR: 20DCC2009J, EN LA LOCALIDAD SAN ANTONIO TEPETLAPA, MUNICIPIO SAN ANTONIO TEPETLAPA.</t>
  </si>
  <si>
    <t>0001 - San Antonio Tepetlapa</t>
  </si>
  <si>
    <t>CONSTRUCCIÓN DE SANITARIOS EN ESCUELA SECUNDARIA GENERAL "GENARO V. VÁSQUEZ" CON CLAVE ESCOLAR: 20DES0067L, EN LA LOCALIDAD SANTO TOMÁS OCOTEPEC, MUNICIPIO SANTO TOMÁS OCOTEPEC</t>
  </si>
  <si>
    <t>0001 - Santo Tomás Ocotepec</t>
  </si>
  <si>
    <t>CONSTRUCCIÓN DE CANCHA DEPORTIVA EN ESCUELA TELESECUNDARIA CON CLAVE ESCOLAR: 20DTV1354R, EN LA LOCALIDAD DE SAN FRANCISCO YATEE, MUNICIPIO SAN ILDEFONSO VILLA ALTA.</t>
  </si>
  <si>
    <t>13 - VILLA ALTA</t>
  </si>
  <si>
    <t>156 - SAN ILDEFONSO VILLA ALTA</t>
  </si>
  <si>
    <t>0002 - San Francisco Yatee</t>
  </si>
  <si>
    <t>CONSTRUCCIÓN DE AULA EN ESCUELA SECUNDARIA GENERAL "GUADALUPE VICTORIA" CON CLAVE ESCOLAR: 20DES0099D, EN LA LOCALIDAD SAN ANTONIO TEPETLAPA, MUNICIPIO SAN ANTONIO TEPETLAPA.</t>
  </si>
  <si>
    <t>CONSTRUCCIÓN DE AULA EN ESCUELA SECUNDARIA GENERAL "HERMANOS FLORES MAGÓN" CON CLAVE ESCOLAR: 20DES0109U, EN LA LOCALIDAD SAN ANDRÉS SINAXTLA, MUNICIPIO SAN ANDRÉS SINAXTLA.</t>
  </si>
  <si>
    <t>10 - NOCHIXTLÁN</t>
  </si>
  <si>
    <t>096 - SAN ANDRÉS SINAXTLA</t>
  </si>
  <si>
    <t>0001 - San Andrés Sinaxtla</t>
  </si>
  <si>
    <t>CONSTRUCCIÓN DE LUDOTECA EN JARDÍN DE NIÑOS INDÍGENA "LEONA VICARIO" CON CLAVE ESCOLAR: 20DCC0062R, EN LA LOCALIDAD SANTA MARÍA PÁPALO, MUNICIPIO SANTA MARÍA PÁPALO.</t>
  </si>
  <si>
    <t>425 - SANTA MARÍA PÁPALO</t>
  </si>
  <si>
    <t>0001 - Santa María Pápalo</t>
  </si>
  <si>
    <t>CONSTRUCCIÓN DE AULA EN ESCUELA PRIMARIA "EMILIANO ZAPATA" CON CLAVE ESCOLAR: 20DPB0602B, EN LA LOCALIDAD SAN ANTONIO TEPETLAPA, MUNICIPIO SAN ANTONIO TEPETLAPA.</t>
  </si>
  <si>
    <t>CONSTRUCCIÓN DE ANEXO EN ESCUELA PRIMARIA "BENITO JUÁREZ" CON CLAVE ESCOLAR: 20DPB1711P, EN LA LOCALIDAD SANTA CRUZ XITLA, MUNICIPIO SANTA CRUZ XITLA.</t>
  </si>
  <si>
    <t>26 - MIAHUATLÁN</t>
  </si>
  <si>
    <t>384 - SANTA CRUZ XITLA</t>
  </si>
  <si>
    <t>0001 - Santa Cruz Xitla</t>
  </si>
  <si>
    <t>CONSTRUCCIÓN DE AULA EN JARDÍN DE NIÑOS INDÍGENA "LÁZARO CÁRDENAS" CON CLAVE ESCOLAR: 20DCC0974N, EN LA LOCALIDAD SAN ANTONIO TEPETLAPA, MUNICIPIO SAN ANTONIO TEPETLAPA.</t>
  </si>
  <si>
    <t>REPARACIONES GENERALES EN ESCUELA PRIMARIA "VICENTE GUERRERO" CON CLAVE ESCOLAR: 20DPB1792Q, EN LA LOCALIDAD SAN ANTONIO TEPETLAPA, MUNICIPIO SAN ANTONIO TEPETLAPA.</t>
  </si>
  <si>
    <t>CONSTRUCCIÓN DE AULA EN JARDÍN DE NIÑOS INDÍGENA "MONTESSORI" CON CLAVE ESCOLAR: 20DCC0383A, EN LA LOCALIDAD SANTIAGO LACHIGUIRI, MUNICIPIO SANTIAGO LACHIGUIRI.</t>
  </si>
  <si>
    <t>28 - TEHUANTEPEC</t>
  </si>
  <si>
    <t>470 - SANTIAGO LACHIGUIRI</t>
  </si>
  <si>
    <t>0001 - Santiago Lachiguiri</t>
  </si>
  <si>
    <t>CONSTRUCCIÓN DE AULAS EN ESCUELA PRIMARIA "FELICIANO LÓPEZ HERNÁNDEZ" CON CLAVE ESCOLAR: 20DPR3368I, EN LA LOCALIDAD DE SANTIAGO MATATLÁN, MUNICIPIO SANTIAGO MATATLÁN.</t>
  </si>
  <si>
    <t>0001 - Santiago Matatlán</t>
  </si>
  <si>
    <t>126 - INSTITUTO DE PLANEACIÓN PARA EL BIENESTAR</t>
  </si>
  <si>
    <t>126001 - OFICINA DEL DIRECTOR GENERAL DEL INSTITUTO DE PLANEACIÓN PARA EL BIENESTAR</t>
  </si>
  <si>
    <t>ESTUDIO DE FACTIBILIDAD PARA LA REACTIVACIÓN DEL INGENIO AZUCARERO EN EL MUNICIPIO DE SANTO DOMINGO INGENIO</t>
  </si>
  <si>
    <t>505 - SANTO DOMINGO INGENIO</t>
  </si>
  <si>
    <t>0001 - Santo Domingo Ingenio</t>
  </si>
  <si>
    <t>REHABILITACION DEL ALUMBRADO PÚBLICO EN LA LOCALIDAD DE BARRIO SAN MIGUEL EN EL MUNICIPIO DE LA HEROICA CIUDAD DE TLAXIACO</t>
  </si>
  <si>
    <t>397 - HEROICA CIUDAD DE TLAXIACO</t>
  </si>
  <si>
    <t>0031 - Barrio San Miguel</t>
  </si>
  <si>
    <t>REHABILITACIÓN DEL ALUMBRADO PÚBLICO EN LA LOCALIDAD DE LA HEROICA CIUDAD DE TLAXIACO, MUNICIPIO DE HEROICA CIUDAD DE TLAXIACO</t>
  </si>
  <si>
    <t>0001 - Heroica Ciudad de Tlaxiaco</t>
  </si>
  <si>
    <t>REHABILITACION DEL ALUMBRADO PÚBLICO EN LA LOCALIDAD DE ARBOLEDA EN EL MUNICIPIO DE LA HEROICA CIUDAD DE TLAXIACO.</t>
  </si>
  <si>
    <t>0102 - Arboleda</t>
  </si>
  <si>
    <t>AMPLIACIÓN DE LA RED DE DISTRIBUCIÓN DE ENERGÍA ELÉCTRICA EN LA LOCALIDAD DE LLANO PALACIO, MUNICIPIO DE SAN MIGUEL DEL PUERTO</t>
  </si>
  <si>
    <t>ELE - ELECTRIFICACION</t>
  </si>
  <si>
    <t>266 - SAN MIGUEL DEL PUERTO</t>
  </si>
  <si>
    <t>0051 - Llano Palacio</t>
  </si>
  <si>
    <t>CONSTRUCCIÓN DE PAVIMENTO CON CONCRETO HIDRAULICO EN LA CALLE CONSTITUCIÓN EN LA LOCALIDAD DE SANTO DOMINGO ROAYAGA  MUNICIPIO DE SANTO DOMINGO ROAYAGA</t>
  </si>
  <si>
    <t>514 - SANTO DOMINGO ROAYAGA</t>
  </si>
  <si>
    <t>0001 - Santo Domingo Roayaga</t>
  </si>
  <si>
    <t>501 - CAMINOS BIENESTAR</t>
  </si>
  <si>
    <t>501001 - CAMINOS BIENESTAR</t>
  </si>
  <si>
    <t>CONSTRUCCIÓN DE LA CARRETERA SIN NOMBRE CON CONCRETO HIDRÁULICO DE CALLEJÓN DE RÓMULO – SANTO DOMINGO ARMENTA, TRAMO DEL KM 0+000 AL KM 7+000, SUBTRAMO DEL KM 0+000 AL KM 1+520, EN EL MUNICIPIO DE SANTO DOMINGO ARMENTA</t>
  </si>
  <si>
    <t>0002 - Callejón de Rómulo</t>
  </si>
  <si>
    <t>CONSTRUCCIÓN DE TECHADO EN ÁREA DE IMPARTICIÓN DE EDUCACIÓN FÍSICA EN CECYTE NÚM. 12 CON CLAVE ESCOLAR: 20ETC0012Z, EN LA LOCALIDAD SANTIAGO JAMILTEPEC, MUNICIPIO SANTIAGO JAMILTEPEC.</t>
  </si>
  <si>
    <t>467 - SANTIAGO JAMILTEPEC</t>
  </si>
  <si>
    <t>0001 - Santiago Jamiltepec</t>
  </si>
  <si>
    <t>111003 - SUBSECRETARÍA DE TEQUIO E INCLUSIÓN PARA EL BIENESTAR</t>
  </si>
  <si>
    <t>TEQUIOS POR LA SEGURIDAD DEL ESTADO DE OAXACA</t>
  </si>
  <si>
    <t>CONSTRUCCION DE OBRAS COMPLEMENTARIAS DEL ESPACIO PÚBLICO MULTIDEPORTIVO EN LA LOCALIDAD DE SANTA CATARINA COATLÁN MUNICIPIO DE MIAHUATLÁN DE PORFIRIO DÍAZ</t>
  </si>
  <si>
    <t>CFD - CULTURA FISICA Y DEPORTE</t>
  </si>
  <si>
    <t>059 - MIAHUATLÁN DE PORFIRIO DÍAZ</t>
  </si>
  <si>
    <t>0017 - Santa Catarina Coatlán</t>
  </si>
  <si>
    <t>TEQUIOS "FACHADAS PRIMAVERA"</t>
  </si>
  <si>
    <t>CONSTRUCCIÓN DE LA CARRETERA SIN NOMBRE CON CONCRETO HIDRÁULICO DE SANTA MARÍA TEXCATITLÁN - SAN ANTONIO NDUAYACO, TRAMO DEL KM 0+000 AL KM 16+600, SUBTRAMO DEL KM 0+000 AL KM 1+920, EN EL MUNICIPIO DE SANTA MARÍA TEXCATITLÁN</t>
  </si>
  <si>
    <t>436 - SANTA MARÍA TEXCATITLÁN</t>
  </si>
  <si>
    <t>0001 - Santa María Texcatitlán</t>
  </si>
  <si>
    <t>CONSTRUCCIÓN DE LA CARRETERA SIN NOMBRE CON CONCRETO HIDRÁULICO DE GUADALUPE LA CIÉNEGA - CUYAMECALCO VILLA DE ZARAGOZA, TRAMO DEL KM 0+000 AL KM 5+700, SUBTRAMO DEL KM 0+000 AL KM 0+720, EN EL MUNICIPIO DE CUYAMECALCO VILLA DE ZARAGOZA</t>
  </si>
  <si>
    <t>024 - CUYAMECALCO VILLA DE ZARAGOZA</t>
  </si>
  <si>
    <t>0010 - Guadalupe la Ciénega</t>
  </si>
  <si>
    <t>CONSTRUCCIÓN CON CONCRETO HIDRÁULICO DE LA CALLE EJÉRCITO NACIONAL A LA UNIVERSIDAD PARA EL BIENESTAR BENITO JUÁREZ GARCÍA, TRAMO DEL KM 0+000 AL KM 0+740, SUBTRAMO DEL KM 0+000 AL KM 0+400, EN EL MUNICIPIO DE SANTIAGO YOLOMÉCATL</t>
  </si>
  <si>
    <t>499 - SANTIAGO YOLOMÉCATL</t>
  </si>
  <si>
    <t>0001 - Santiago Yolomécatl</t>
  </si>
  <si>
    <t>CONSTRUCCIÓN DE LA CARRETERA SIN NOMBRE CON CONCRETO HIDRÁULICO DE SAN LORENZO VISTA HERMOSA – E.C. (HUAJUAPAN DE LEÓN - MARISCALA DE JUÁREZ), TRAMO DEL KM 0+000 AL KM 9+800, SUBTRAMO DEL KM 0+000 AL KM 1+240, EN EL MUNICIPIO DE SAN MIGUEL AMATITLÁN</t>
  </si>
  <si>
    <t>02 - HUAJUAPAN</t>
  </si>
  <si>
    <t>261 - SAN MIGUEL AMATITLÁN</t>
  </si>
  <si>
    <t>0007 - San Lorenzo Vista Hermosa</t>
  </si>
  <si>
    <t>REHABILITACIÓN DE LA CARRETERA CON CONCRETO ASFÁLTICO DE SANTIAGO LACHIGUIRI - E.C. (OAXACA - TEHUANTEPEC), TRAMO DEL KM 0+000 AL KM 9+900, SUBTRAMO DEL KM 0+000 AL KM 7+550, EN EL MUNICIPIO DE SANTIAGO LACHIGUIRI</t>
  </si>
  <si>
    <t>CONSTRUCCIÓN DE LA CARRETERA SIN NOMBRE CON CONCRETO HIDRÁULICO DEL E.C. (CAZADERO ARRIBA - CERRO IGUANA) - CAZADERO ABAJO, TRAMO DEL KM 0+000 AL KM 0+843, EN EL MUNICIPIO DE SANTIAGO NILTEPEC</t>
  </si>
  <si>
    <t>066 - SANTIAGO NILTEPEC</t>
  </si>
  <si>
    <t>0030 - Cazadero Abajo</t>
  </si>
  <si>
    <t>CONSTRUCCIÓN DE AULA EN COBAO NÚM. 57 CON CLAVE ESCOLAR: 20ECB0057F, EN LA LOCALIDAD DE SAN JUAN BAUTISTA LO DE SOTO, MUNICIPIO SAN JUAN BAUTISTA LO DE SOTO.</t>
  </si>
  <si>
    <t>180 - SAN JUAN BAUTISTA LO DE SOTO</t>
  </si>
  <si>
    <t>0001 - San Juan Bautista Lo de Soto</t>
  </si>
  <si>
    <t>EQUIPAMIENTO PARA IEBO NÚM. 215 CON CLAVE ESCOLAR: 20ETH0215P, EN LA LOCALIDAD DE TEPELMEME VILLA DE MORELOS, MUNICIPIO DE TEPELMEME VILLA DE MORELOS.</t>
  </si>
  <si>
    <t>03 - COIXTLAHUACA</t>
  </si>
  <si>
    <t>548 - TEPELMEME VILLA DE MORELOS</t>
  </si>
  <si>
    <t>0001 - Tepelmeme Villa de Morelos</t>
  </si>
  <si>
    <t>EQUIPAMIENTO PARA EL TEBCEO NÚM. 23 CON CLAVE ESCOLAR: 20ETK0023N, EN LA LOCALIDAD DE SANTO DOMINGO DEL RÍO, MUNICIPIO SAN PEDRO TEUTILA.</t>
  </si>
  <si>
    <t>330 - SAN PEDRO TEUTILA</t>
  </si>
  <si>
    <t>0012 - Santo Domingo del Río</t>
  </si>
  <si>
    <t>AMPLIACIÓN DE LA RED DE DISTRIBUCIÓN DE ENERGÍA ELÉCTRICA EN VARIAS CALLES DE LA LOCALIDAD VICENTE GUERRERO, MUNICIPIO DE VILLA DE ZAACHILA</t>
  </si>
  <si>
    <t>17 - ZAACHILA</t>
  </si>
  <si>
    <t>565 - VILLA DE ZAACHILA</t>
  </si>
  <si>
    <t>0006 - Vicente Guerrero</t>
  </si>
  <si>
    <t>511 - VIVIENDA BIENESTAR</t>
  </si>
  <si>
    <t>511001 - DIRECCIÓN GENERAL</t>
  </si>
  <si>
    <t>CONSTRUCCIÓN DE PISO FIRME PARA EL MEJORAMIENTO DE LA VIVIENDA, EN LA LOCALIDAD LAGUNILLA DE CÁRDENAS, MUNICIPIO SANTA CATARINA YOSONOTÚ.</t>
  </si>
  <si>
    <t>VIV - VIVIENDA</t>
  </si>
  <si>
    <t>372 - SANTA CATARINA YOSONOTÚ</t>
  </si>
  <si>
    <t>0005 - Lagunilla de Cárdenas</t>
  </si>
  <si>
    <t>CONSTRUCCIÓN DE PISO FIRME PARA EL MEJORAMIENTO DE LA VIVIENDA, EN LA LOCALIDAD VISTA HERMOSA, MUNICIPIO SANTA CATARINA YOSONOTÚ.</t>
  </si>
  <si>
    <t>0007 - Vista Hermosa</t>
  </si>
  <si>
    <t>CONSTRUCCIÓN DE PISO FIRME PARA EL MEJORAMIENTO DE LA VIVIENDA, EN LA LOCALIDAD BENITO JUÁREZ, MUNICIPIO SANTA CATARINA YOSONOTÚ.</t>
  </si>
  <si>
    <t>0004 - Benito Juárez</t>
  </si>
  <si>
    <t>CONSTRUCCIÓN DE PISO FIRME PARA EL MEJORAMIENTO DE LA VIVIENDA, EN LA LOCALIDAD YUCUNICUCA DE HIDALGO, MUNICIPIO SANTA CATARINA YOSONOTÚ.</t>
  </si>
  <si>
    <t>0002 - Yucunicuca de Hidalgo</t>
  </si>
  <si>
    <t>CONSTRUCCIÓN DE PISO FIRME PARA EL MEJORAMIENTO DE LA VIVIENDA, EN LA LOCALIDAD MORELOS, MUNICIPIO SANTA CATARINA YOSONOTÚ.</t>
  </si>
  <si>
    <t>0006 - Morelos</t>
  </si>
  <si>
    <t>CONSTRUCCIÓN DE PISO FIRME PARA EL MEJORAMIENTO DE LA VIVIENDA, EN LA LOCALIDAD SANTA CATARINA YOSONOTÚ, MUNICIPIO SANTA CATARINA YOSONOTÚ.</t>
  </si>
  <si>
    <t>0001 - Santa Catarina Yosonotú</t>
  </si>
  <si>
    <t>CONSTRUCCIÓN DE TECHADO EN ÁREA DE IMPARTICIÓN DE EDUCACIÓN FÍSICA EN IEBO NUM. 193 CON CLAVE ESCOLAR: 20ETH0193U, EN LA LOCALIDAD SAN FELIPE TÍLPAM, MUNICIPIO SAN PEDRO IXCATLÁN.</t>
  </si>
  <si>
    <t>05 - CUENCA DEL PAPALOAPAN</t>
  </si>
  <si>
    <t>06 - TUXTEPEC</t>
  </si>
  <si>
    <t>309 - SAN PEDRO IXCATLÁN</t>
  </si>
  <si>
    <t>0013 - San Felipe Tílpam</t>
  </si>
  <si>
    <t>539 - SISTEMA OPERADOR DE LOS SERVICIOS DE AGUA POTABLE Y ALCANTARILLADO</t>
  </si>
  <si>
    <t>539002 - SERVICIOS DE INFRAESTRUCTURA PARA AGUA POTABLE Y SANEAMIENTO</t>
  </si>
  <si>
    <t>REHABILITACIÓN DE DRENAJE PLUVIAL EN LA COLONIA SANTA ELENA, LOCALIDAD SANTA CRUZ XOXOCOTLÁN, MUNICIPIO SANTA CRUZ XOXOCOTLÁN</t>
  </si>
  <si>
    <t>ALS - ALCANTARILLADO Y SANEAMIENTO</t>
  </si>
  <si>
    <t>0001 - Santa Cruz Xoxocotlán</t>
  </si>
  <si>
    <t>POLILINEA</t>
  </si>
  <si>
    <t>CONSTRUCCIÓN DE PISO FIRME PARA EL MEJORAMIENTO DE LA VIVIENDA, EN LA LOCALIDAD SAN ISIDRO MONTEVERDE, MUNICIPIO SAN ANTONINO MONTE VERDE.</t>
  </si>
  <si>
    <t>105 - SAN ANTONINO MONTE VERDE</t>
  </si>
  <si>
    <t>0007 - San Isidro Monteverde</t>
  </si>
  <si>
    <t>CONSTRUCCIÓN DE PISO FIRME PARA EL MEJORAMIENTO DE LA VIVIENDA, EN LA LOCALIDAD SANTA MARÍA DE LAS NIEVES MONTEVERDE, MUNICIPIO SAN ANTONINO MONTE VERDE.</t>
  </si>
  <si>
    <t>0008 - Santa María de las Nieves Monteverde</t>
  </si>
  <si>
    <t>CONSTRUCCIÓN DE PISO FIRME PARA EL MEJORAMIENTO DE LA VIVIENDA, EN LA LOCALIDAD GUADALUPE DE LAS FLORES MONTEVERDE, MUNICIPIO SAN ANTONINO MONTE VERDE.</t>
  </si>
  <si>
    <t>0010 - Guadalupe de las Flores Monteverde</t>
  </si>
  <si>
    <t>CONSTRUCCIÓN DE PISO FIRME PARA EL MEJORAMIENTO DE LA VIVIENDA, EN LA LOCALIDAD SAN ANTONIO YODONDUZA MONTEVERDE, MUNICIPIO SAN ANTONINO MONTE VERDE.</t>
  </si>
  <si>
    <t>0003 - San Antonio Yodonduza Monteverde</t>
  </si>
  <si>
    <t>CONSTRUCCIÓN DE PISO FIRME PARA EL MEJORAMIENTO DE LA VIVIENDA, EN LA LOCALIDAD GUADALUPE MONTEVERDE, MUNICIPIO SAN ANTONINO MONTE VERDE.</t>
  </si>
  <si>
    <t>0002 - Guadalupe Monteverde</t>
  </si>
  <si>
    <t>CONSTRUCCIÓN DE PISO FIRME PARA EL MEJORAMIENTO DE LA VIVIENDA, EN LA LOCALIDAD SAN JOSÉ MONTEVERDE, MUNICIPIO SAN ANTONINO MONTE VERDE.</t>
  </si>
  <si>
    <t>0005 - San José Monteverde</t>
  </si>
  <si>
    <t>CONSTRUCCIÓN DE PISO FIRME PARA EL MEJORAMIENTO DE LA VIVIENDA, EN LA LOCALIDAD SAN FRANCISCO CABALLÚA, MUNICIPIO SAN ANTONINO MONTE VERDE.</t>
  </si>
  <si>
    <t>0004 - San Francisco Caballúa</t>
  </si>
  <si>
    <t>CONSTRUCCIÓN DE PISO FIRME PARA EL MEJORAMIENTO DE LA VIVIENDA, EN LA LOCALIDAD SAN ANTONINO MONTE VERDE, MUNICIPIO SAN ANTONINO MONTE VERDE.</t>
  </si>
  <si>
    <t>0001 - San Antonino Monte Verde</t>
  </si>
  <si>
    <t>CONSTRUCCIÓN DE PISO FIRME PARA EL MEJORAMIENTO DE LA VIVIENDA, EN LA LOCALIDAD SAN MIGUEL MONTEVERDE, MUNICIPIO SAN ANTONINO MONTE VERDE.</t>
  </si>
  <si>
    <t>0006 - San Miguel Monteverde</t>
  </si>
  <si>
    <t>CONSTRUCCIÓN DE PISO FIRME PARA EL MEJORAMIENTO DE LA VIVIENDA, EN LA LOCALIDAD TEPALCATEPEC, MUNICIPIO SAN PEDRO Y SAN PABLO TEQUIXTEPEC.</t>
  </si>
  <si>
    <t>340 - SAN PEDRO Y SAN PABLO TEQUIXTEPEC</t>
  </si>
  <si>
    <t>0012 - Tepalcatepec</t>
  </si>
  <si>
    <t>EQUIPAMIENTO PARA IEBO NO. 182 CON CLAVE ESCOLAR: 20ETH0182O EN LA LOCALIDAD DE SANTA MARÍA PÁPALO, MUNICIPIO SANTA MARÍA PÁPALO</t>
  </si>
  <si>
    <t>EQUIPAMIENTO PARA BIC NÚM. 29 CON CLAVE ESCOLAR: 20EBD0029I, EN LA LOCALIDAD TEOTITLÁN DEL VALLE, MUNICIPIO TEOTITLÁN DEL VALLE.</t>
  </si>
  <si>
    <t>546 - TEOTITLÁN DEL VALLE</t>
  </si>
  <si>
    <t>0001 - Teotitlán del Valle</t>
  </si>
  <si>
    <t>EQUIPAMIENTO PARA TELEBACHILLERATO COMUNITARIO NÚM. 43 CON CLAVE ESCOLAR: 20ETK0043A EN LA LOCALIDAD SAN JOSÉ DEL PEÑASCO, MUNICIPIO SAN JOSÉ DEL PEÑASCO</t>
  </si>
  <si>
    <t>167 - SAN JOSÉ DEL PEÑASCO</t>
  </si>
  <si>
    <t>0001 - San José del Peñasco</t>
  </si>
  <si>
    <t>EQUIPAMIENTO PARA IEBO NO. 31 CON CLAVE ESCOLAR: 20ETH0031I EN LA LOCALIDAD DE SAN MIGUEL, MUNICIPIO SANTIAGO LACHIGUIRI</t>
  </si>
  <si>
    <t>0003 - San Miguel</t>
  </si>
  <si>
    <t>EQUIPAMIENTO PARA IEBO NO. 163 CON CLAVE ESCOLAR: 20ETH0163Z EN LA LOCALIDAD DE SANTA MARÍA TOTOLAPILLA, MUNICIPIO SANTA MARÍA TOTOLAPILLA</t>
  </si>
  <si>
    <t>440 - SANTA MARÍA TOTOLAPILLA</t>
  </si>
  <si>
    <t>0001 - Santa María Totolapilla</t>
  </si>
  <si>
    <t>EQUIPAMIENTO PARA IEBO NO. 70 CON CLAVE ESCOLAR: 20ETH0071J EN LA LOCALIDAD DE SANTIAGO LACHIGUIRI, MUNICIPIO SANTIAGO LACHIGUIRI</t>
  </si>
  <si>
    <t>REPARACIONES GENERALES EN CECYTE EMSAD NUM. 5 CON CLAVE ESCOLAR: 20EMS0005G, EN LA LOCALIDAD SAN ANTONIO TEPETLAPA, MUNICIPIO SAN ANTONIO TEPETLAPA</t>
  </si>
  <si>
    <t>CONSTRUCCIÓN DE SANITARIOS EN IEBO NUM. 274 CON CLAVE ESCOLAR: 20ETH0282N, EN LA LOCALIDAD SANTA CRUZ XITLA, MUNICIPIO SANTA CRUZ XITLA.</t>
  </si>
  <si>
    <t>CONSTRUCCIÓN DE SANITARIOS EN TEBCEO NUM. 43 CON CLAVE ESCOLAR: 20ETK0043A, EN LA LOCALIDAD SAN JOSÉ DEL PEÑASCO, MUNICIPIO SAN JOSÉ DEL PEÑASCO</t>
  </si>
  <si>
    <t>CONSTRUCCIÓN DE TECHADO EN ÁREA DE IMPARTICIÓN DE EDUCACIÓN FÍSICA EN ESCUELA PRIMARIA "BENITO JUÁREZ" CON CLAVE ESCOLAR: 20DPB0128O, EN LA LOCALIDAD SAN PEDRO TULIXTLAHUACA, MUNICIPIO SAN ANTONIO TEPETLAPA</t>
  </si>
  <si>
    <t>CONSTRUCCIÓN DE TECHADO EN ÁREA DE IMPARTICIÓN DE EDUCACIÓN FÍSICA EN ESCUELA SECUNDARIA GENERAL "JUSTO SIERRA MÉNDEZ" CON CLAVE ESCOLAR: 20DES0105Y, EN LA LOCALIDAD SAN AGUSTÍN CHAYUCO, MUNICIPIO SAN AGUSTÍN CHAYUCO</t>
  </si>
  <si>
    <t>082 - SAN AGUSTÍN CHAYUCO</t>
  </si>
  <si>
    <t>0001 - San Agustín Chayuco</t>
  </si>
  <si>
    <t>EQUIPAMIENTO PARA IEBO NO. 29 CON CLAVE ESCOLAR: 20ETH0030J EN LA LOCALIDAD DE GUIGOVELAGA, MUNICIPIO SANTIAGO LACHIGUIRI</t>
  </si>
  <si>
    <t>0002 - Guigovelaga</t>
  </si>
  <si>
    <t>ADQUISICIÓN DE UNIDADES DE TRANSPORTE PARA LA MODERNIZACIÓN DEL SISTEMA INTEGRADO DE TRANSPORTE PÚBLICO EN OAXACA</t>
  </si>
  <si>
    <t>SUMINISTRO DE INSUMOS EN MATERIA DE PROTECCIÓN CIVIL PARA LAS CASAS HOGAR DEL SISTEMA ESTATAL DIF OAXACA</t>
  </si>
  <si>
    <t>SUMINISTRO DE INSUMOS A CASAS HOGAR DEL SISTEMA ESTATAL DIF OAXACA</t>
  </si>
  <si>
    <t>127 - SECRETARIADO EJECUTIVO DEL SISTEMA ESTATAL DE SEGURIDAD PÚBLICA</t>
  </si>
  <si>
    <t>127001 - SECRETARIADO EJECUTIVO DEL SISTEMA ESTATAL DE SEGURIDAD PÚBLICA</t>
  </si>
  <si>
    <t>EVALUACIONES DE CONTROL DE CONFIANZA PARA LAS INSTITUCIONES DE SEGURIDAD PÚBLICA: ASPIRANTES Y PERMANENCIA, FASP 2025</t>
  </si>
  <si>
    <t>SPJ - PROTECCION CIVIL, SEGURIDAD PUBLICA Y JUSTICIA</t>
  </si>
  <si>
    <t>EVALUACIONES DE CONTROL DE CONFIANZA PARA LAS INSTITUCIONES DE SEGURIDAD PÚBLICA: ASPIRANTES Y PERMANENCIA, ESTATAL 2025</t>
  </si>
  <si>
    <t>CAPACITACIONES DE FORMACIÓN INICIAL Y CONTINUA CONFORME AL PROGRAMA RECTOR, FASP 2025</t>
  </si>
  <si>
    <t>CAPACITACIONES DE FORMACIÓN INICIAL Y CONTINUA CONFORME AL PROGRAMA RECTOR, ESTATAL 2025</t>
  </si>
  <si>
    <t>ACCIONES DE MANTENIMIENTO Y MODERNIZACIÓN DE INSTALACIONES Y EQUIPO DE LOS INSTITUTOS DE FORMACIÓN, FASP 2025</t>
  </si>
  <si>
    <t>ACCIONES DE MANTENIMIENTO Y MODERNIZACIÓN DE INSTALACIONES Y EQUIPO DE LOS INSTITUTOS DE FORMACIÓN, ESTATAL 2025</t>
  </si>
  <si>
    <t>EQUIPAMIENTO DE LAS INSTITUCIONES DE SEGURIDAD PÚBLICA Y PROCURACIÓN DE JUSTICIA, FASP 2025</t>
  </si>
  <si>
    <t>EQUIPAMIENTO DE LAS INSTITUCIONES DE SEGURIDAD PÚBLICA Y PROCURACIÓN DE JUSTICIA, ESTATAL 2025</t>
  </si>
  <si>
    <t>DESARROLLO DE PROGRAMAS DE PREVENCIÓN DEL DELITO Y ATENCIÓN A VÍCTIMAS, ESTATAL 2025</t>
  </si>
  <si>
    <t>PROGRAMAS ESPECIALES PARA EL PERSONAL POLICIAL EN JUSTICIA CÍVICA, FASP 2025</t>
  </si>
  <si>
    <t>CAPACITACIÓN Y SENSIBILIZACIÓN POLICIAL EN VIOLENCIA POR RAZONES DE GÉNERO, FASP 2025</t>
  </si>
  <si>
    <t>ADQUISICIÓN, MANTENIMIENTO O ACTUALIZACIÓN DE EQUIPO E INFRAESTRUCTURA PARA LAS UNIDADES ESPECIALIZADAS EN INTELIGENCIA E INVESTIGACIÓN EN LAS INSTITUCIONES DE SEGURIDAD PÚBLICA Y PROCURACIÓN DE JUSTICIA, FASP 2025</t>
  </si>
  <si>
    <t>ADQUISICIÓN, MANTENIMIENTO O ACTUALIZACIÓN DE EQUIPO E INFRAESTRUCTURA PARA LAS UNIDADES ESPECIALIZADAS EN INTELIGENCIA E INVESTIGACIÓN EN LAS INSTITUCIONES DE SEGURIDAD PÚBLICA Y PROCURACIÓN DE JUSTICIA, ESTATAL 2025</t>
  </si>
  <si>
    <t>CAPACITACIÓN ESPECIALIZADA EN INTELIGENCIA, INVESTIGACIÓN POLICIAL Y CRIMINALÍSTICA, FASP 2025</t>
  </si>
  <si>
    <t>DESARROLLO E IMPLEMENTACIÓN DEL SISTEMA ÚNICO DE REPORTE, FASP 2025</t>
  </si>
  <si>
    <t>DESARROLLO E IMPLEMENTACIÓN DEL SISTEMA ÚNICO DE REPORTE, ESTATAL 2025</t>
  </si>
  <si>
    <t>INTERCONECTIVIDAD DEL SISTEMA ÚNICO DE REPORTE CON LAS ENTIDADES FEDERATIVAS Y ENTES FEDERALES, FASP 2025</t>
  </si>
  <si>
    <t>INTERCONECTIVIDAD DEL SISTEMA ÚNICO DE REPORTE CON LAS ENTIDADES FEDERATIVAS Y ENTES FEDERALES, ESTATAL 2025</t>
  </si>
  <si>
    <t>MANTENIMIENTO Y EXPANSIÓN DE LA RED NACIONAL ASEGURANDO COBERTURA Y CONEXIÓN, FASP 2025</t>
  </si>
  <si>
    <t>ACTUALIZACIÓN Y MODERNIZACIÓN DE EQUIPOS DE RADIOCOMUNICACIÓN  QUE PERMITAN UNA MEJOR INTERCONEXIÓN Y DISPONIBILIDAD DE LA RED, FASP 2025</t>
  </si>
  <si>
    <t>ACTUALIZACIÓN Y MODERNIZACIÓN DE EQUIPO TECNOLÓGICO Y SOFTWARE DEL REGISTRO PÚBLICO VEHICULAR (REPUVE), FASP 2025</t>
  </si>
  <si>
    <t>ACTUALIZACIÓN Y MODERNIZACIÓN DE EQUIPO TECNOLÓGICO Y SOFTWARE DEL REGISTRO PÚBLICO VEHICULAR (REPUVE), ESTATAL 2025</t>
  </si>
  <si>
    <t>EVALUACIONES DE LOS CENTROS DE CONTROL Y COMANDO, FASP 2025</t>
  </si>
  <si>
    <t>CERTIFICACIÓN DE LOS CENTROS DE CONTROL Y COMANDO, FASP 2025</t>
  </si>
  <si>
    <t>INTEROPERABILIDAD Y MEJORA TECNOLÓGICA, FASP 2025</t>
  </si>
  <si>
    <t>INTEROPERABILIDAD Y MEJORA TECNOLÓGICA, ESTATAL 2025</t>
  </si>
  <si>
    <t>ADQUISICIÓN, MANTENIMIENTO O ACTUALIZACIÓN DE EQUIPO E INFRAESTRUCTURA DE LAS INSTALACIONES DE LOS CENTROS PENITENCIARIOS, FASP 2025</t>
  </si>
  <si>
    <t>SEGUIMIENTO Y EVALUACIÓN DE LOS PROGRAMAS, FASP 2025</t>
  </si>
  <si>
    <t>SEGUIMIENTO Y EVALUACIÓN DE LOS PROGRAMAS, ESTATAL 2025</t>
  </si>
  <si>
    <t>ACCIONES DE SONORIZACIÓN, ILUMINACIÓN, AMBIENTACIÓN Y LOGÍSTICA PARA LA FERIA DESDE MIS RAÍCES CON SUS SABORES, TIANGUIS GASTRONÓMICO 2025.</t>
  </si>
  <si>
    <t>MANTENIMIENTO DE DRENAJE SANITARIO EN CALLES DE LA LOCALIDAD DE OAXACA DE JUAREZ, MUNICIPIO DE OAXACA DE JUAREZ</t>
  </si>
  <si>
    <t>MANTENIMIENTO DE DRENAJE SANITARIO EN CALLES DE LA LOCALIDAD DE SAN JACINTO AMILPAS, MUNICIPIO DE SAN JACINTO AMILPAS</t>
  </si>
  <si>
    <t>157 - SAN JACINTO AMILPAS</t>
  </si>
  <si>
    <t>0001 - San Jacinto Amilpas</t>
  </si>
  <si>
    <t>111007 - SUBSECRETARÍA DE POLÍTICA SOCIAL PARA EL BIENESTAR</t>
  </si>
  <si>
    <t>PROGRAMA “MI PRIMERA CHAMBA, EXPERIENCIA QUE TRANSFORMA” PARA EL EJERCICIO FISCAL 2025.</t>
  </si>
  <si>
    <t>CONSTRUCCIÓN DE PAVIMENTO CON CONCRETO HIDRÁULICO DEL CAMINO SIN NOMBRE (RÍO ANONA – E.C. (OAXACA – PUERTO ÁNGEL)), TRAMO DEL KM 0+000 AL KM 2+760, SUBTRAMO DEL KM 0+000 AL KM 0+900, EN EL MUNICIPIO DE SAN SIMÓN ALMOLONGAS</t>
  </si>
  <si>
    <t>351 - SAN SIMÓN ALMOLONGAS</t>
  </si>
  <si>
    <t>0002 - Río Anona</t>
  </si>
  <si>
    <t>CONSTRUCCIÓN DE PAVIMENTO CON CONCRETO HIDRÁULICO DEL CAMINO SIN NOMBRE DE SAN RAFAEL AGUA DE PESCADITO - ARROYO TORTUGA, TRAMO DEL KM 0+000 AL KM 6+000, SUBTRAMO DEL KM 0+550 AL KM 3+470 EN TRAMOS PARCIALES, EN EL MUNICIPIO DE SAN JUAN BAUTISTA VALLE NACIONAL</t>
  </si>
  <si>
    <t>559 - SAN JUAN BAUTISTA VALLE NACIONAL</t>
  </si>
  <si>
    <t>0033 - San Rafael Agua de Pescadito</t>
  </si>
  <si>
    <t>PRODUCCIÓN DE PLANTAS EN VIVERO. HIDALGO SANTA CRUZ ITUNDUJIA</t>
  </si>
  <si>
    <t>15 - PUTLA</t>
  </si>
  <si>
    <t>377 - SANTA CRUZ ITUNDUJIA</t>
  </si>
  <si>
    <t>0004 - Hidalgo</t>
  </si>
  <si>
    <t>PRODUCCIÓN DE PLANTAS EN VIVERO. TEOTITLÁN DE FLORES MAGÓN</t>
  </si>
  <si>
    <t>04 - TEOTITLÁN</t>
  </si>
  <si>
    <t>545 - TEOTITLÁN DE FLORES MAGÓN</t>
  </si>
  <si>
    <t>0001 - Teotitlán de Flores Magón</t>
  </si>
  <si>
    <t>PRODUCCIÓN DE PLANTAS EN VIVERO. TEPELMEME VILLA DE MORELOS</t>
  </si>
  <si>
    <t>PRODUCCIÓN DE PLANTAS EN VIVERO. SAN JUAN ATEPEC</t>
  </si>
  <si>
    <t>12 - BENEMÉRITO DISTRITO DE IXTLÁN DE JUÁREZ</t>
  </si>
  <si>
    <t>173 - SAN JUAN ATEPEC</t>
  </si>
  <si>
    <t>0001 - San Juan Atepec</t>
  </si>
  <si>
    <t>EQUIPAMIENTO PARA EL FORTALECIMIENTO DE LAS CAPACIDADES PRODUCTIVAS COMUNITARIA FORESTAL DE LA UNIÓN FORESTAL SANTO TOMÁS IXTLÁN</t>
  </si>
  <si>
    <t>042 - IXTLÁN DE JUÁREZ</t>
  </si>
  <si>
    <t>0001 - Ixtlán de Juárez</t>
  </si>
  <si>
    <t>CONSTRUCCIÓN DE PAVIMENTO CON CONCRETO HIDRÁULICO DEL CAMINO SIN NOMBRE (SAN MIGUEL ALLENDE – SAN JORGE NUCHITA), TRAMO DEL KM 0+000 AL KM 1+800, SUBTRAMO DEL KM 0+000 AL KM 1+000, EN EL MUNICIPIO DE SAN JORGE NUCHITA</t>
  </si>
  <si>
    <t>164 - SAN JORGE NUCHITA</t>
  </si>
  <si>
    <t>0003 - San Miguel Allende</t>
  </si>
  <si>
    <t>CONSTRUCCIÓN DE PAVIMENTO CON CONCRETO HIDRÁULICO DEL CAMINO SIN NOMBRE DE SITIO XITLAPEHUA – SAÚZ, TRAMO DEL KM 0+000 AL KM 1+200, SUBTRAMO DEL KM 0+000 AL KM 0+720, EN EL MUNICIPIO DE SITIO DE XITLAPEHUA</t>
  </si>
  <si>
    <t>538 - SITIO DE XITLAPEHUA</t>
  </si>
  <si>
    <t>0002 - Saúz</t>
  </si>
  <si>
    <t>CONSTRUCCIÓN DE PAVIMENTO CON CONCRETO HIDRÁULICO DEL CAMINO SIN NOMBRE DE EL PORVENIR – SAN JUAN BAUTISTA ATATLAHUCA, TRAMO DEL KM 0+000 AL KM 2+600, SUBTRAMO DEL KM 0+000 AL KM 0+820, EN EL MUNICIPIO DE SAN JUAN BAUTISTA ATATLAHUCA</t>
  </si>
  <si>
    <t>175 - SAN JUAN BAUTISTA ATATLAHUCA</t>
  </si>
  <si>
    <t>0002 - El Porvenir</t>
  </si>
  <si>
    <t>128 - SECRETARÍA DE DESARROLLO ECONÓMICO</t>
  </si>
  <si>
    <t>128001 - OFICINA DEL SECRETARIO DE DESARROLLO ECONÓMICO</t>
  </si>
  <si>
    <t>FERIA ARTESANAL DEL CARIBE, AMA (ARTE MANUAL ANCESTRAL), EN BARRANQUILLA, COLOMBIA</t>
  </si>
  <si>
    <t>EAC - DESARROLLO ECONOMICO, ABASTO Y COMERCIALIZACION</t>
  </si>
  <si>
    <t>553 - TLALIXTAC DE CABRERA</t>
  </si>
  <si>
    <t>0001 - Tlalixtac de Cabrera</t>
  </si>
  <si>
    <t>526 - INSTITUTO DE LA JUVENTUD DEL ESTADO DE OAXACA</t>
  </si>
  <si>
    <t>526001 - INSTITUTO DE LA JUVENTUD DEL ESTADO DE OAXACA</t>
  </si>
  <si>
    <t>PROGRAMA DE ATENCIÓN A LAS JUVENTUDES "TARJETA JOVEN" PARA EL EJERCICIO FISCAL 2025</t>
  </si>
  <si>
    <t>ACCIONES DE LOGÍSTICA PARA DIVERSAS PRESENTACIONES ARTÍSTICAS DE LA GUELAGUETZA 2025</t>
  </si>
  <si>
    <t>ACCIONES DE SONORIZACIÓN Y AMBIENTACIÓN DE DIVERSAS PRESENTACIONES ARTÍSTICAS DE LA GUELAGUETZA 2025</t>
  </si>
  <si>
    <t>EQUIPAMIENTO DE CENTRO DE SALUD RURAL DE 01 NÚCLEO BÁSICO DE LA LOCALIDAD DE PLAN ALEMÁN</t>
  </si>
  <si>
    <t>0012 - Plan Alemán</t>
  </si>
  <si>
    <t>CONSTRUCCIÓN DE SANITARIOS EN ESCUELA PRIMARIA "JOSÉ MA. MORELOS Y PAVÓN" CON CLAVE ESCOLAR: 20DPB0665N, EN LA LOCALIDAD LA GUADALUPE, MUNICIPIO SAN PEDRO AMUZGOS</t>
  </si>
  <si>
    <t>300 - SAN PEDRO AMUZGOS</t>
  </si>
  <si>
    <t>0002 - La Guadalupe</t>
  </si>
  <si>
    <t>CONSTRUCCIÓN DE LABORATORIO-TALLER EN ESCUELA TELESECUNDARIA CON CLAVE ESCOLAR: 20DTV0204D EN LA LOCALIDAD SAN MARTÍN DE LOS CANSECOS, MUNICIPIO SAN MARTÍN DE LOS CANSECOS</t>
  </si>
  <si>
    <t>238 - SAN MARTÍN DE LOS CANSECOS</t>
  </si>
  <si>
    <t>0001 - HEROICO SAN MARTÍN DE LOS CANSECOS</t>
  </si>
  <si>
    <t>CONSTRUCCIÓN DE AULA EN JARDÍN DE NIÑOS "LÁZARO CÁRDENAS" CON CLAVE ESCOLAR: 20DJN1407Q, EN LA LOCALIDAD RÍO BLANCO, MUNICIPIO SAN JUAN BAUTISTA COIXTLAHUACA</t>
  </si>
  <si>
    <t>176 - SAN JUAN BAUTISTA COIXTLAHUACA</t>
  </si>
  <si>
    <t>0004 - Río Blanco</t>
  </si>
  <si>
    <t>REPARACIONES GENERALES EN ESCUELA PRIMARIA "CUAUHTÉMOC" CON CLAVE ESCOLAR: 20DPB0750K, EN LA LOCALIDAD DE SAN JUAN TABAÁ, MUNICIPIO SAN JUAN TABAÁ.</t>
  </si>
  <si>
    <t>216 - SAN JUAN TABAÁ</t>
  </si>
  <si>
    <t>0001 - San Juan Tabaá</t>
  </si>
  <si>
    <t>REPARACIONES GENERALES EN ESCUELA PRIMARIA "FLORES MAGÓN" CON CLAVE ESCOLAR: 20DPB0339S, EN LA LOCALIDAD DE CUESTA BLANCA, MUNICIPIO HEROICA VILLA DE TEZOATLÁN DE SEGURA Y LUNA, CUNA DE LA INDEPENDENCIA DE OAXACA.</t>
  </si>
  <si>
    <t>549 - HEROICA VILLA TEZOATLÁN DE SEGURA Y LUNA, CUNA DE LA INDEPENDENCIA DE OAXACA</t>
  </si>
  <si>
    <t>0040 - Cuesta Blanca</t>
  </si>
  <si>
    <t>CONSTRUCCIÓN DE AULAS EN JARDÍN DE NIÑOS URBANO "AARÓN ORTIZ OLIVERA" CON CLAVE ESCOLAR: 20DJN0082U, EN LA LOCALIDAD VILLA DE CHILAPA DE DÍAZ, MUNICIPIO VILLA DE CHILAPA DE DÍAZ</t>
  </si>
  <si>
    <t>0001 - Villa de Chilapa de Díaz</t>
  </si>
  <si>
    <t>CONSTRUCCIÓN DE AULA EN ESCUELA PRIMARIA "LÁZARO CÁRDENAS" CON CLAVE ESCOLAR: 20DPB2281W, EN LA LOCALIDAD LOS MARCELO [COLONIA], MUNICIPIO SAN PEDRO JICAYÁN</t>
  </si>
  <si>
    <t>312 - SAN PEDRO JICAYÁN</t>
  </si>
  <si>
    <t>0010 - Los Marcelo [Colonia]</t>
  </si>
  <si>
    <t>CONSTRUCCIÓN DE AULA EN CENTRO DE EDUCACIÓN INICIAL INDÍGENA CON CLAVE ESCOLAR: 20DIN0407U, EN LA LOCALIDAD SAN PEDRO JICAYÁN, MUNICIPIO SAN PEDRO JICAYÁN</t>
  </si>
  <si>
    <t>0001 - San Pedro Jicayán</t>
  </si>
  <si>
    <t>REPARACIONES GENERALES EN ESCUELA PRIMARIA "CUAUHTÉMOC" CON CLAVE ESCOLAR: 20DPB0360V, EN LA LOCALIDAD SAN JUAN JICAYÁN, MUNICIPIO SAN PEDRO JICAYÁN</t>
  </si>
  <si>
    <t>0004 - San Juan Jicayán</t>
  </si>
  <si>
    <t>REPARACIONES GENERALES EN ESCUELA PRIMARIA "MOCTEZUMA XOCOYOTZIN" CON CLAVE ESCOLAR: 20DPB2171Q, EN LA LOCALIDAD SAN JUAN JICAYÁN, MUNICIPIO SAN PEDRO JICAYÁN</t>
  </si>
  <si>
    <t>CONSTRUCCIÓN DE AULA EN CENTRO DE EDUCACIÓN INICIAL INDÍGENA CON CLAVE ESCOLAR: 20DIN0043C, EN LA LOCALIDAD SANTA MARÍA TEMAXCALTEPEC, MUNICIPIO SANTA MARÍA TEMAXCALTEPEC</t>
  </si>
  <si>
    <t>22 - JUQUILA</t>
  </si>
  <si>
    <t>433 - SANTA MARÍA TEMAXCALTEPEC</t>
  </si>
  <si>
    <t>0001 - Santa María Temaxcaltepec</t>
  </si>
  <si>
    <t>CONSTRUCCIÓN DE CANCHA DEPORTIVA EN ESCUELA PRIMARIA "16 DE SEPTIEMBRE" CON CLAVE ESCOLAR: 20DPB1935X, EN LA LOCALIDAD DE SANTA CRUZ, MUNICIPIO DE SANTA MARÍA YOSOYÚA.</t>
  </si>
  <si>
    <t>445 - SANTA MARÍA YOSOYÚA</t>
  </si>
  <si>
    <t>0004 - Santa Cruz</t>
  </si>
  <si>
    <t>REPARACIONES GENERALES EN ESCUELA TELESECUNDARIA CON CLAVE ESCOLAR: 20DTV0694I, EN LA LOCALIDAD DE SAN LUCAS QUIAVINÍ, MUNICIPIO SAN LUCAS QUIAVINÍ.</t>
  </si>
  <si>
    <t>233 - SAN LUCAS QUIAVINÍ</t>
  </si>
  <si>
    <t>0001 - San Lucas Quiaviní</t>
  </si>
  <si>
    <t>CONSTRUCCIÓN DE AULA EN CENTRO DE EDUCACIÓN INICIAL INDÍGENA CON CLAVE ESCOLAR: 20DIN0611E, EN LA LOCALIDAD DE SAN FRANCISCO DEL MAR, MUNICIPIO SAN FRANCISCO DEL MAR.</t>
  </si>
  <si>
    <t>141 - SAN FRANCISCO DEL MAR</t>
  </si>
  <si>
    <t>0036 - San Francisco del Mar</t>
  </si>
  <si>
    <t>CONSTRUCCIÓN DE AULA EN ESCUELA PRIMARIA "ONCE DE ENERO" CON CLAVE ESCOLAR: 20DPB2308M, EN LA LOCALIDAD DE SAN FRANCISCO DEL MAR, MUNICIPIO SAN FRANCISCO DEL MAR.</t>
  </si>
  <si>
    <t>CONSTRUCCIÓN DE AULA EN CENTRO DE EDUCACIÓN INICIAL INDÍGENA CON CLAVE ESCOLAR: 20DIN0645V, EN LA LOCALIDAD TEOCOCUILCO DE MARCOS PÉREZ, MUNICIPIO TEOCOCUILCO DE MARCOS PÉREZ</t>
  </si>
  <si>
    <t>544 - TEOCOCUILCO DE MARCOS PÉREZ</t>
  </si>
  <si>
    <t>0001 - Teococuilco de Marcos Pérez</t>
  </si>
  <si>
    <t>CONSTRUCCIÓN DE AULA EN CENTRO DE EDUCACIÓN INICIAL INDÍGENA CON CLAVE ESCOLAR: 20DIN0390K, EN LA LOCALIDAD YUTANDUCHI DE GUERRERO, MUNICIPIO YUTANDUCHI DE GUERRERO</t>
  </si>
  <si>
    <t>564 - YUTANDUCHI DE GUERRERO</t>
  </si>
  <si>
    <t>0001 - Yutanduchi de Guerrero</t>
  </si>
  <si>
    <t>CONSTRUCCIÓN DE AULA EN PRIMARIA "MIGUEL HIDALGO" CON CLAVE ESCOLAR: 20DPB2440U, EN LA LOCALIDAD EL MANANTIAL, MUNICIPIO SAN AGUSTÍN LOXICHA</t>
  </si>
  <si>
    <t>085 - SAN AGUSTÍN LOXICHA</t>
  </si>
  <si>
    <t>0081 - El Manantial</t>
  </si>
  <si>
    <t>CONSTRUCCIÓN DE AULA EN ESCUELA PRIMARIA "CUAUHTÉMOC" CON CLAVE ESCOLAR: 20DPR1123A, EN LA LOCALIDAD GUEGOVELA, MUNICIPIO AYOQUEZCO DE ALDAMA</t>
  </si>
  <si>
    <t>18 - ZIMATLÁN</t>
  </si>
  <si>
    <t>398 - AYOQUEZCO DE ALDAMA</t>
  </si>
  <si>
    <t>0002 - Guegovela</t>
  </si>
  <si>
    <t>CONSTRUCCIÓN DE CANCHA DEPORTIVA EN ESCUELA TELESECUNDARIA CON CLAVE ESCOLAR: 20DTV0367O, EN LA LOCALIDAD DE SANTA CATARINA QUIANÉ, MUNICIPIO DE SANTA CATARINA QUIANÉ.</t>
  </si>
  <si>
    <t>369 - SANTA CATARINA QUIANÉ</t>
  </si>
  <si>
    <t>0001 - Santa Catarina Quiané</t>
  </si>
  <si>
    <t>REPARACIONES GENERALES EN ESCUELA PRIMARIA "JUAN B. TOLEDO" CON CLAVE ESCOLAR: 20DPR0937P, EN LA LOCALIDAD DE SAN PEDRO COMITANCILLO, MUNICIPIO SAN PEDRO COMITANCILLO.</t>
  </si>
  <si>
    <t>305 - SAN PEDRO COMITANCILLO</t>
  </si>
  <si>
    <t>0001 - San Pedro Comitancillo</t>
  </si>
  <si>
    <t>REPARACIONES GENERALES EN ESCUELA PRIMARIA "REVOLUCIÓN" CON CLAVE ESCOLAR: 20DPR0624O, EN LA LOCALIDAD DE SAN JUAN BAUTISTA LO DE SOTO, MUNICIPIO SAN JUAN BAUTISTA LO DE SOTO</t>
  </si>
  <si>
    <t>CONSTRUCCIÓN DE AULAS EN ESCUELA PRIMARIA "JOSÉ MARÍA MORELOS" CON CLAVE ESCOLAR: 20DPR1060F, EN LA LOCALIDAD SANTA CRUZ ACATEPEC, MUNICIPIO SANTA CRUZ ACATEPEC</t>
  </si>
  <si>
    <t>374 - SANTA CRUZ ACATEPEC</t>
  </si>
  <si>
    <t>0001 - Santa Cruz Acatepec</t>
  </si>
  <si>
    <t>CONSTRUCCIÓN DE AULA EN JARDÍN DE NIÑOS INDÍGENA "BENITO JUÁREZ" CON CLAVE ESCOLAR: 20DCC0542Z, EN LA LOCALIDAD SANTA CATARINA MECHOACÁN, MUNICIPIO SANTA CATARINA MECHOACÁN</t>
  </si>
  <si>
    <t>367 - SANTA CATARINA MECHOACÁN</t>
  </si>
  <si>
    <t>0001 - Santa Catarina Mechoacán</t>
  </si>
  <si>
    <t>CONSTRUCCIÓN DE AULA EN ESCUELA PRIMARIA "CUAUHTÉMOC" CON CLAVE ESCOLAR: 20DPB1563X, EN LA LOCALIDAD SANTA CATARINA MECHOACÁN, MUNICIPIO SANTA CATARINA MECHOACÁN</t>
  </si>
  <si>
    <t>CONSTRUCCIÓN DE BARDA PERIMETRAL EN ESCUELA PRIMARIA "FRANCISCO I. MADERO" CON CLAVE ESCOLAR: 20DPR1464Y, EN LA LOCALIDAD SITIO DE XITLAPEHUA, MUNICIPIO SITIO DE XITLAPEHUA</t>
  </si>
  <si>
    <t>0001 - Sitio de Xitlapehua</t>
  </si>
  <si>
    <t>CONSTRUCCIÓN DE AULA EN ESCUELA TELESECUNDARIA CON CLAVE ESCOLAR: 20DTV0338T, EN LA LOCALIDAD SANTO TOMÁS TAMAZULAPAN, MUNICIPIO SANTO TOMÁS TAMAZULAPAN</t>
  </si>
  <si>
    <t>533 - SANTO TOMÁS TAMAZULAPAN</t>
  </si>
  <si>
    <t>0001 - Santo Tomás Tamazulapan</t>
  </si>
  <si>
    <t>CONSTRUCCIÓN DE AULA EN ESCUELA PRIMARIA "VICENTE SUÁREZ" CON CLAVE ESCOLAR: 20DPR3235S, EN LA LOCALIDAD SANTO NIÑO, MUNICIPIO SAN GABRIEL MIXTEPEC</t>
  </si>
  <si>
    <t>153 - SAN GABRIEL MIXTEPEC</t>
  </si>
  <si>
    <t>0074 - Santo Niño</t>
  </si>
  <si>
    <t>CONSTRUCCIÓN DE AULA EN ESCUELA TELESECUNDARIA CON CLAVE ESCOLAR: 20DTV0041J, EN LA LOCALIDAD TEPELMEME VILLA DE MORELOS, MUNICIPIO TEPELMEME VILLA DE MORELOS</t>
  </si>
  <si>
    <t>CONSTRUCCIÓN DE AULA EN JARDÍN DE NIÑOS INDÍGENA "BENITO JUÁREZ" CON CLAVE ESCOLAR: 20DCC1134A, EN LA LOCALIDAD SAN PEDRO HUILOTEPEC, MUNICIPIO SAN PEDRO HUILOTEPEC</t>
  </si>
  <si>
    <t>308 - SAN PEDRO HUILOTEPEC</t>
  </si>
  <si>
    <t>0001 - San Pedro Huilotepec</t>
  </si>
  <si>
    <t>CONSTRUCCIÓN DE TECHADO EN ÁREA DE USO MÚLTIPLE EN ESCUELA TELESECUNDARIA CON CLAVE ESCOLAR: 20DTV0358G, EN LA LOCALIDAD SAN PEDRO HUILOTEPEC, MUNICIPIO SAN PEDRO HUILOTEPEC</t>
  </si>
  <si>
    <t>EQUIPAMIENTO DE UN LABORATORIO-TALLER EN LA ESCUELA TELESECUNDARIA CON CLAVE ESCOLAR: 20DTV1426U, EN LA LOCALIDAD GUADALUPE SIETE CERROS, MUNICIPIO SAN FRANCISCO CHAPULAPA</t>
  </si>
  <si>
    <t>139 - SAN FRANCISCO CHAPULAPA</t>
  </si>
  <si>
    <t>0004 - Guadalupe Siete Cerros</t>
  </si>
  <si>
    <t>CONSTRUCCIÓN DE AULA EN ESCUELA PRIMARIA "BENITO JUÁREZ" CON CLAVE ESCOLAR: 20DPB1711P, EN LA LOCALIDAD SANTA CRUZ XITLA, MUNICIPIO SANTA CRUZ XITLA</t>
  </si>
  <si>
    <t>EQUIPAMIENTO PARA LA ESCUELA "CURSO COMUNITARIO DE EDUCACIÓN PRIMARIA MESTIZA" CON CLAVE ESCOLAR: 20KPR1715W EN LA LOCALIDAD BARRIO DE LA PROVIDENCIA, MUNICIPIO SILACAYOÁPAM.</t>
  </si>
  <si>
    <t>01 - SILACAYOÁPAM</t>
  </si>
  <si>
    <t>537 - SILACAYOÁPAM</t>
  </si>
  <si>
    <t>0005 - Barrio de la Providencia</t>
  </si>
  <si>
    <t>CONSTRUCCIÓN DE AULA EN ESCUELA PRIMARIA "EMILIANO ZAPATA" CON CLAVE ESCOLAR: 20DPR1171K, EN LA LOCALIDAD SAN JOSÉ MONTE VERDE, MUNICIPIO SANTA MARÍA NATIVITAS</t>
  </si>
  <si>
    <t>422 - SANTA MARÍA NATIVITAS</t>
  </si>
  <si>
    <t>0002 - San José Monte Verde</t>
  </si>
  <si>
    <t>REPARACIONES GENERALES EN ESCUELA PRIMARIA "GREGORIO TORRES QUINTERO" CON CLAVE ESCOLAR: 20DPR0702B, EN LA LOCALIDAD SAN JUAN GUELAVÍA, MUNICIPIO SAN JUAN GUELAVÍA.</t>
  </si>
  <si>
    <t>197 - SAN JUAN GUELAVÍA</t>
  </si>
  <si>
    <t>0001 - San Juan Guelavía</t>
  </si>
  <si>
    <t>CONSTRUCCIÓN DE AULA EN ESCUELA TELESECUNDARIA CON CLAVE ESCOLAR: 20DTV1025Z, EN LA LOCALIDAD SAN JOSÉ IXTÁPAM, MUNICIPIO SANTA CATARINA JUQUILA</t>
  </si>
  <si>
    <t>364 - SANTA CATARINA JUQUILA</t>
  </si>
  <si>
    <t>0018 - San José Ixtápam</t>
  </si>
  <si>
    <t>CONSTRUCCIÓN DE AULA EN ESCUELA PRIMARIA "JESÚS GONZÁLEZ ORTEGA" CON CLAVE ESCOLAR: 20DPB0205C, EN LA LOCALIDAD SAN ISIDRO, MUNICIPIO SAN JUAN COATZÓSPAM</t>
  </si>
  <si>
    <t>187 - SAN JUAN COATZÓSPAM</t>
  </si>
  <si>
    <t>0004 - San Isidro</t>
  </si>
  <si>
    <t>CONSTRUCCIÓN DE AULAS EN JARDÍN DE NIÑOS INDÍGENA "FELIPE ÁNGELES" CON CLAVE ESCOLAR: 20DCC0753C, EN LA LOCALIDAD SAN AGUSTÍN ATENANGO, MUNICIPIO SAN AGUSTÍN ATENANGO</t>
  </si>
  <si>
    <t>081 - SAN AGUSTÍN ATENANGO</t>
  </si>
  <si>
    <t>0001 - San Agustín Atenango</t>
  </si>
  <si>
    <t>CONSTRUCCIÓN DE TECHADO EN ÁREAS DE USO MÚLTIPLE EN ESCUELA TELESECUNDARIA CON CLAVE ESCOLAR: 20DTV0434W, EN LA LOCALIDAD JALTEPEC DE CANDOYOC, MUNICIPIO SAN JUAN COTZOCÓN.</t>
  </si>
  <si>
    <t>190 - SAN JUAN COTZOCÓN</t>
  </si>
  <si>
    <t>0011 - Jaltepec de Candoyoc</t>
  </si>
  <si>
    <t>CONSTRUCCIÓN DE TECHADO EN ÁREA DE IMPARTICIÓN DE EDUCACIÓN FÍSICA EN ESCUELA SECUNDARIA TÉCNICA NUM. 230 CON CLAVE ESCOLAR: 20DST0247O, EN LA LOCALIDAD SANTA ANA DEL VALLE, MUNICIPIO SANTA ANA DEL VALLE</t>
  </si>
  <si>
    <t>CONSTRUCCIÓN DE TECHADO EN ÁREA DE IMPARTICIÓN DE EDUCACIÓN FÍSICA EN ESCUELA SECUNDARIA GENERAL "TELPOCHCALLI" CON CLAVE ESCOLAR: 20DES0236Q, EN LA LOCALIDAD CAÑADA BRAVA, MUNICIPIO SANTO DOMINGO DE MORELOS</t>
  </si>
  <si>
    <t>509 - SANTO DOMINGO DE MORELOS</t>
  </si>
  <si>
    <t>0010 - Cañada Brava</t>
  </si>
  <si>
    <t>EQUIPAMIENTO PARA EL FORTALECIMIENTO DE LA INFRAESTRUCTURA EN SALUD (SISTEMA INTEGRADO DE MONITOREO DE VECTORES)</t>
  </si>
  <si>
    <t>CONSTRUCCIÓN DE PAVIMENTO CON CONCRETO HIDRÁULICO EN LA CALLE LOS MANANTIALES, EN LA LOCALIDAD DE ARROYO TRISTE, MUNICIPIO DE SANTA CATARINA JUQUILA</t>
  </si>
  <si>
    <t>0003 - Arroyo Triste</t>
  </si>
  <si>
    <t>AMPLIACIÓN DE LA RED DE DISTRIBUCIÓN DE ENERGÍA ELÉCTRICA EN LA LOCALIDAD DE CERRO DE JARRITO EN EL MUNICIPIO DE SAN JUAN TAMAZOLA</t>
  </si>
  <si>
    <t>217 - SAN JUAN TAMAZOLA</t>
  </si>
  <si>
    <t>0054 - Cerro de Jarrito</t>
  </si>
  <si>
    <t>AMPLIACIÓN DE LA RED DE DISTRIBUCIÓN DE ENERGÍA ELÉCTRICA EN VARIAS CALLES DE LA LOCALIDAD SANTA MARÍA TILTEPEC DEL MUNICIPIO DE SAN PEDRO TOPILTEPEC</t>
  </si>
  <si>
    <t>332 - SAN PEDRO TOPILTEPEC</t>
  </si>
  <si>
    <t>0002 - Santa María Tiltepec</t>
  </si>
  <si>
    <t>CONSTRUCCIÓN DE PAVIMENTO CON CONCRETO HIDRÁULICO EN CALLE FLORES MAGÓN, EN LA LOCALIDAD DE SAN CRISTÓBAL, MUNICIPIO DE SAN AGUSTÍN CHAYUCO</t>
  </si>
  <si>
    <t>0005 - San Cristóbal</t>
  </si>
  <si>
    <t>ENCAUZAMIENTO EN LAS MARGENES DEL RIO ATOYAC (PUENTE DEL AEROPUERTO INTERNACIONAL DE OAXACA - PUENTE DE LA EXGARITA) TRAMO DEL KM 0+000 AL KM 6+500, SUBTRAMO DEL KM 3+325 AL KM 5+100 EN EL MUNICIPIO DE SANTA CRUZ XOXOCOTLÁN</t>
  </si>
  <si>
    <t>CONSTRUCCIÓN DE LA VIALIDAD EN LAS MARGENES DEL RIO ATOYAC (PUENTE DEL AEROPUERTO INTERNACIONAL DE OAXACA - CALLE FRESNOS), TRAMO DEL KM 0+000 AL KM 6+000, SUBTRAMO DEL KM 2+900 AL KM 4+800 (MARGEN IZQUIERDA), EN EL MUNICIPIO DE SANTA CRUZ XOXOCOTLÁN</t>
  </si>
  <si>
    <t>CONSTRUCCIÓN DE PARQUE PÚBLICO "HORTENSIA" EN LA AGENCIA DE POLICIA DE DOLORES, LOCALIDAD DE OAXACA DE JUÁREZ, MUNICIPIO DE OAXACA DE JUÁREZ</t>
  </si>
  <si>
    <t>SUPERVISIÓN EXTERNA PARA LA CONSTRUCCIÓN DEL ACCESO FRANCO A LA ESTACIÓN VIGUERA DEL SISTEMA INTEGRADO DE TRANSPORTE PÚBLICO EN OAXACA EN LA LOCALIDAD DE OAXACA DE JUÁREZ, MUNICIPIO DE OAXACA DE JUÁREZ</t>
  </si>
  <si>
    <t>REHABILITACIÓN CON PAVIMENTO ASFÁLTICO DE LA CARRETERA A SAN ANTONIO ARRAZOLA, TRAMO DEL KM 0+000 AL KM 4+865.97, EN LA LOCALIDAD DE ARRAZOLA, EN EL MUNICIPIO DE SANTA CRUZ XOXOCOTLÁN</t>
  </si>
  <si>
    <t>0003 - Arrazola</t>
  </si>
  <si>
    <t>ESTRATEGIA DE DIFUSIÓN DE PROGRAMAS DE ASISTENCIA SOCIAL DEL SISTEMA DIF OAXACA</t>
  </si>
  <si>
    <t>CAPACITACIONES EN MATERIA DE ASISTENCIA SOCIAL DEL SISTEMA DIF OAXACA</t>
  </si>
  <si>
    <t>REHABILITACIÓN DE PARABUSES DEL CORREDOR TRONCAL VIGUERA-XOXOCOTLÁN DEL SISTEMA INTEGRADO DE TRANSPORTE PÚBLICO EN OAXACA, EN LA LOCALIDAD DE OAXACA DE JUÁREZ, MUNICIPIO DE OAXACA DE JUÁREZ</t>
  </si>
  <si>
    <t>REHABILITACIÓN CON PAVIMENTO ASFÁLTICO EN VIALIDADES EN LA LOCALIDAD SANTA LUCIA DEL CAMINO, MUNICIPIO DE SANTA LUCIA DEL CAMINO</t>
  </si>
  <si>
    <t>390 - SANTA LUCÍA DEL CAMINO</t>
  </si>
  <si>
    <t>0001 - Santa Lucía del Camino</t>
  </si>
  <si>
    <t>EQUIPAMIENTO DE LAS INSTITUCIONES DE SEGURIDAD PÚBLICA Y PROCURACIÓN DE JUSTICIA, FOFISP 2025</t>
  </si>
  <si>
    <t>INFRAESTRUCTURA DE LAS INSTITUCIONES DE SEGURIDAD PÚBLICA Y PROCURACIÓN DE JUSTICIA,ESTATAL 2025</t>
  </si>
  <si>
    <t>ADQUISICIÓN, MANTENIMIENTO O ACTUALIZACIÓN DE EQUIPO E INFRAESTRUCTURA PARA LAS UNIDADES ESPECIALIZADAS EN INTELIGENCIA E INVESTIGACIÓN EN LAS INSTITUCIONES DE SEGURIDAD PÚBLICA Y PROCURACIÓN DE JUSTICIA, FOFISP 2025</t>
  </si>
  <si>
    <t>INTEROPERABILIDAD Y MEJORA TECNOLÓGICA, FOFISP 2025</t>
  </si>
  <si>
    <t>PROGRAMA PARA EL BIENESTAR DE LAS "MUJERES DE LA PRIMAVERA" PARA EL EJERCICIO FISCAL 2025</t>
  </si>
  <si>
    <t>104 - SECRETARÍA DE SEGURIDAD Y PROTECCIÓN CIUDADANA</t>
  </si>
  <si>
    <t>104001 - OFICINA DEL SECRETARIO DE SEGURIDAD Y PROTECCIÓN CIUDADANA</t>
  </si>
  <si>
    <t>MANTENIMIENTO Y EQUIPAMIENTO DE INFRAESTRUCTURA TECNOLÓGICA PARA EL CENTRO DE COMANDO, CONTROL, CÓMPUTO, COMUNICACIONES, CONTACTO CIUDADANO E INTELIGENCIA (C5I)</t>
  </si>
  <si>
    <t>MOBILIARIO PARA EL CENTRO DE COMANDO, CONTROL, CÓMPUTO, COMUNICACIONES, CONTACTO CIUDADANO E INTELIGENCIA (C5I)</t>
  </si>
  <si>
    <t>CAPACITACIÓN TÉCNICA PARA OPERACIONES DE SEGURIDAD Y EMERGENCIA DEL CENTRO DE COMANDO, CONTROL, CÓMPUTO, COMUNICACIONES, CONTACTO CIUDADANO E INTELIGENCIA (C5I)</t>
  </si>
  <si>
    <t>129 - SECRETARÍA DE TURISMO</t>
  </si>
  <si>
    <t>129001 - OFICINA DEL SECRETARIO DE TURISMO</t>
  </si>
  <si>
    <t>CAMPAÑA DE PROMOCIÓN TURÍSTICA NACIONAL 2025</t>
  </si>
  <si>
    <t>TORNEO DE PESCA DEPORTIVA PEZ VELA Y DORADO, PUERTO ÁNGEL 2025</t>
  </si>
  <si>
    <t>0025 - Puerto Ángel</t>
  </si>
  <si>
    <t>530 - INSTITUTO ESTATAL DE EDUCACIÓN PARA ADULTOS</t>
  </si>
  <si>
    <t>530001 - COORDINACIÓN DE PLANEACIÓN</t>
  </si>
  <si>
    <t>CAMPAÑA NACIONAL DE ALFABETIZACIÓN Y REDUCCIÓN DEL REZAGO EDUCATIVO.</t>
  </si>
  <si>
    <t>FORTALECIMIENTO EMPRESARIAL Y DIVERSIFICACIÓN PRODUCTIVA DE LAS UNIDADES ECONÓMICAS DEL ESTADO DE OAXACA.SANTA CRUZ XOXOCOTLÁN</t>
  </si>
  <si>
    <t>FORTALECIMIENTO EMPRESARIAL Y DIVERSIFICACIÓN PRODUCTIVA DE LAS UNIDADES ECONÓMICAS DEL ESTADO DE OAXACA.SANTIAGO PINOTEPA NACIONAL</t>
  </si>
  <si>
    <t>482 - SANTIAGO PINOTEPA NACIONAL</t>
  </si>
  <si>
    <t>0001 - Santiago Pinotepa Nacional</t>
  </si>
  <si>
    <t>FORTALECIMIENTO EMPRESARIAL Y DIVERSIFICACIÓN PRODUCTIVA DE LAS UNIDADES ECONÓMICAS DEL ESTADO DE OAXACA. ACATLÁN DE PÉREZ FIGUEROA</t>
  </si>
  <si>
    <t>002 - ACATLÁN DE PÉREZ FIGUEROA</t>
  </si>
  <si>
    <t>0001 - Acatlán de Pérez Figueroa</t>
  </si>
  <si>
    <t>FORTALECIMIENTO EMPRESARIAL Y DIVERSIFICACIÓN PRODUCTIVA DE LAS UNIDADES ECONÓMICAS DEL ESTADO DE OAXACA. SANTIAGO JUXTLAHUACA</t>
  </si>
  <si>
    <t>08 - JUXTLAHUACA</t>
  </si>
  <si>
    <t>469 - SANTIAGO JUXTLAHUACA</t>
  </si>
  <si>
    <t>0001 - Santiago Juxtlahuaca</t>
  </si>
  <si>
    <t>FORTALECIMIENTO EMPRESARIAL Y DIVERSIFICACIÓN PRODUCTIVA DE LAS UNIDADES ECONÓMICAS DEL ESTADO DE OAXACA. VILLA SOLA DE VEGA</t>
  </si>
  <si>
    <t>0001 - Villa Sola de Vega</t>
  </si>
  <si>
    <t>FORTALECIMIENTO EMPRESARIAL Y DIVERSIFICACIÓN PRODUCTIVA DE LAS UNIDADES ECONÓMICAS DEL ESTADO DE OAXACA. JUCHITÁN DE ZARAGOZA</t>
  </si>
  <si>
    <t>EQUIPAMIENTO DE POZO PROFUNDO DE AGUA POTABLE "PARQUE PRIMAVERA" EN LA LOCALIDAD DE OAXACA DE JUAREZ, MUNICIPIO DE OAXACA DE JUAREZ.</t>
  </si>
  <si>
    <t>CONSTRUCCIÓN DE POZO PROFUNDO DE AGUA POTABLE 7 ACUEDUCTO, EN LA LOCALIDAD DE SANTA CRUZ XOXOCOTLÁN, MUNICIPIO DE SANTA CRUZ XOXOCOTLAN</t>
  </si>
  <si>
    <t>130 - SECRETARÍA DE LAS MUJERES</t>
  </si>
  <si>
    <t xml:space="preserve">130001 - OFICINA DEL SECRETARIO DE LAS MUJERES </t>
  </si>
  <si>
    <t>ESTRATEGIA TERRITORIAL PARA LA PREVENCIÓN DE LA VIOLENCIA DE GÉNERO. BRIGADA VIOLETA</t>
  </si>
  <si>
    <t>IMPLEMENTACIÓN Y PUESTA A PUNTO DE HERRAMIENTAS TECNOLÓGICAS PARA LA MODERNIZACIÓN DEL SISTEMA INTEGRADO DE TRANSPORTE PÚBLICO EN OAXACA</t>
  </si>
  <si>
    <t>AFINAMIENTO DE TALUD Y LIMPIEZA DEL RIO ATOYAC, EN LOS MUNICIPIOS DE OAXACA DE JUAREZ Y SANTA CRUZ XOXOCOTLAN</t>
  </si>
  <si>
    <t>919 - COBERTURA DISTRITAL CENTRO</t>
  </si>
  <si>
    <t>9999 - COBERTURA DISTRITAL CENTRO</t>
  </si>
  <si>
    <t>IMPLEMENTACIÓN Y PUESTA A PUNTO DE EQUIPAMIENTO TECNOLÓGICO PARA LA MODERNIZACIÓN DEL SISTEMA INTEGRADO DE TRANSPORTE PÚBLICO EN OAXACA</t>
  </si>
  <si>
    <t>FERIA DEL MEZCAL 2025</t>
  </si>
  <si>
    <t>521 - CORPORACIÓN OAXAQUEÑA DE RADIO Y TELEVISIÓN</t>
  </si>
  <si>
    <t>521001 - CORPORACIÓN OAXAQUEÑA DE RADIO Y TELEVISIÓN</t>
  </si>
  <si>
    <t>PRODUCCIÓN Y TRANSMISIÓN DE LAS EXPRESIONES ARTÍSTICAS, CULTURALES Y RECREATIVAS IMPULSADAS POR EL GOBIERNO DEL ESTADO,  EN EL MARCO DE "JULIO MES DE LA GUELAGUETZA 2025".</t>
  </si>
  <si>
    <t>EXPOFERIAS ARTESANALES DE BARRO, PALMA, CARRIZO, MADERA Y TEXTIL EN EL MARCO DE LA GUELAGUETZA 2025: ENCUENTROS COMERCIALES PARA LOS PUEBLOS Y COMUNIDADES INDÍGENAS Y AFROMEXICANAS</t>
  </si>
  <si>
    <t>GUELAGUETZA 2025</t>
  </si>
  <si>
    <t>558 - INSTITUTO DE LA FUNCIÓN REGISTRAL DEL ESTADO DE OAXACA</t>
  </si>
  <si>
    <t>558001 - INSTITUTO DE LA FUNCIÓN REGISTRAL DEL ESTADO DE OAXACA</t>
  </si>
  <si>
    <t>DISEÑO E IMPLEMENTACIÓN DEL SISTEMA INTEGRAL PARA LA FUNCIÓN REGISTRAL DEL ESTADO DE OAXACA (SIFREO).</t>
  </si>
  <si>
    <t>CONSTRUCCIÓN DEL CENTRO DE COMANDO, CONTROL, CÓMPUTO, COMUNICACIONES, CONTACTO CIUDADANO E INTELIGENCIA (C5I) EN LA LOCALIDAD DE OAXACA DE JUAREZ, MUNICIPIO DE OAXACA DE JUAREZ</t>
  </si>
  <si>
    <t>584 - INSTITUTO DE LENGUAS ORIGINARIAS DE OAXACA</t>
  </si>
  <si>
    <t>584001 - DIRECCIÓN GENERAL</t>
  </si>
  <si>
    <t>VOCES  Y DIVERSIDAD LINGÜISTICA: PATRIMONIO INTANGIBLE DE OAXACA</t>
  </si>
  <si>
    <t>531 - INSTITUTO ESTATAL DE EDUCACIÓN PÚBLICA DE OAXACA</t>
  </si>
  <si>
    <t>531001 - DIRECCIÓN GENERAL DEL IEEPO</t>
  </si>
  <si>
    <t>EQUIPAMIENTO DE ESCUELAS PÚBLICAS DE EDUCACIÓN BÁSICA DEL MUNICIPIO DE: ACATLAN DE PEREZ FIGUEROA</t>
  </si>
  <si>
    <t>0000 - COBERTURA MUNICIPAL ACATLÁN DE PÉREZ FIGUEROA</t>
  </si>
  <si>
    <t>EQUIPAMIENTO DE ESCUELAS PÚBLICAS DE EDUCACIÓN BÁSICA DEL MUNICIPIO DE: SAN MIGUEL CHIMALAPA</t>
  </si>
  <si>
    <t>265 - SAN MIGUEL CHIMALAPA</t>
  </si>
  <si>
    <t>0000 - COBERTURA MUNICIPAL SAN MIGUEL CHIMALAPA</t>
  </si>
  <si>
    <t>EQUIPAMIENTO DE ESCUELAS PÚBLICAS DE EDUCACIÓN BÁSICA DEL MUNICIPIO DE: SANTIAGO YAVEO</t>
  </si>
  <si>
    <t>07 - CHOÁPAM</t>
  </si>
  <si>
    <t>498 - SANTIAGO YAVEO</t>
  </si>
  <si>
    <t>0000 - COBERTURA MUNICIPAL SANTIAGO YAVEO</t>
  </si>
  <si>
    <t>EQUIPAMIENTO DE ESCUELAS PÚBLICAS DE EDUCACIÓN BÁSICA DEL MUNICIPIO DE: JUCHITAN DE ZARAGOZA</t>
  </si>
  <si>
    <t>0000 - COBERTURA MUNICIPAL HEROICA CIUDAD DE JUCHITÁN DE ZARAGOZA</t>
  </si>
  <si>
    <t>EQUIPAMIENTO DE ESCUELAS PÚBLICAS DE EDUCACIÓN BÁSICA DEL MUNICIPIO DE: SANTA MARIA XADANI</t>
  </si>
  <si>
    <t>441 - SANTA MARÍA XADANI</t>
  </si>
  <si>
    <t>0000 - COBERTURA MUNICIPAL SANTA MARÍA XADANI</t>
  </si>
  <si>
    <t>EQUIPAMIENTO DE ESCUELAS PÚBLICAS DE EDUCACIÓN BÁSICA DEL MUNICIPIO DE: CANDELARIA LOXICHA</t>
  </si>
  <si>
    <t>012 - CANDELARIA LOXICHA</t>
  </si>
  <si>
    <t>0000 - COBERTURA MUNICIPAL CANDELARIA LOXICHA</t>
  </si>
  <si>
    <t>EQUIPAMIENTO DE ESCUELAS PÚBLICAS DE EDUCACIÓN BÁSICA DEL MUNICIPIO DE: SAN JOSE CHILTEPEC</t>
  </si>
  <si>
    <t>166 - SAN JOSÉ CHILTEPEC</t>
  </si>
  <si>
    <t>0000 - COBERTURA MUNICIPAL SAN JOSÉ CHILTEPEC</t>
  </si>
  <si>
    <t>EQUIPAMIENTO DE ESCUELAS PÚBLICAS DE EDUCACIÓN BÁSICA DEL MUNICIPIO DE: PLUMA HIDALGO</t>
  </si>
  <si>
    <t>071 - PLUMA HIDALGO</t>
  </si>
  <si>
    <t>0000 - COBERTURA MUNICIPAL PLUMA HIDALGO</t>
  </si>
  <si>
    <t>EQUIPAMIENTO DE ESCUELAS PÚBLICAS DE EDUCACIÓN BÁSICA DEL MUNICIPIO DE: MAZATLAN VILLA DE FLORES</t>
  </si>
  <si>
    <t>058 - MAZATLÁN VILLA DE FLORES</t>
  </si>
  <si>
    <t>0000 - COBERTURA MUNICIPAL MAZATLÁN VILLA DE FLORES</t>
  </si>
  <si>
    <t>EQUIPAMIENTO DE ESCUELAS PÚBLICAS DE EDUCACIÓN BÁSICA DEL MUNICIPIO DE: SAN LORENZO TEXMELUCAN</t>
  </si>
  <si>
    <t>229 - SAN LORENZO TEXMELÚCAN</t>
  </si>
  <si>
    <t>0000 - COBERTURA MUNICIPAL SAN LORENZO TEXMELÚCAN</t>
  </si>
  <si>
    <t>EQUIPAMIENTO DE ESCUELAS PÚBLICAS DE EDUCACIÓN BÁSICA DEL MUNICIPIO DE: SAN MIGUEL TLACOTEPEC</t>
  </si>
  <si>
    <t>286 - SAN MIGUEL TLACOTEPEC</t>
  </si>
  <si>
    <t>0000 - COBERTURA MUNICIPAL SAN MIGUEL TLACOTEPEC</t>
  </si>
  <si>
    <t>EQUIPAMIENTO DE ESCUELAS PÚBLICAS DE EDUCACIÓN BÁSICA DEL MUNICIPIO DE: SANTA MARIA MIXTEQUILLA</t>
  </si>
  <si>
    <t>421 - SANTA MARÍA MIXTEQUILLA</t>
  </si>
  <si>
    <t>0000 - COBERTURA MUNICIPAL SANTA MARÍA MIXTEQUILLA</t>
  </si>
  <si>
    <t>EQUIPAMIENTO DE ESCUELAS PÚBLICAS DE EDUCACIÓN BÁSICA DEL MUNICIPIO DE: SANTO DOMINGO TEHUANTEPEC</t>
  </si>
  <si>
    <t>515 - SANTO DOMINGO TEHUANTEPEC</t>
  </si>
  <si>
    <t>0000 - COBERTURA MUNICIPAL SANTO DOMINGO TEHUANTEPEC</t>
  </si>
  <si>
    <t>EQUIPAMIENTO DE ESCUELAS PÚBLICAS DE EDUCACIÓN BÁSICA DEL MUNICIPIO DE: SANTA MARIA TONAMECA</t>
  </si>
  <si>
    <t>439 - SANTA MARÍA TONAMECA</t>
  </si>
  <si>
    <t>0000 - COBERTURA MUNICIPAL SANTA MARÍA TONAMECA</t>
  </si>
  <si>
    <t>EQUIPAMIENTO DE ESCUELAS PÚBLICAS DE EDUCACIÓN BÁSICA DEL MUNICIPIO DE: SAN JUAN BAUTISTA TUXTEPEC</t>
  </si>
  <si>
    <t>184 - SAN JUAN BAUTISTA TUXTEPEC</t>
  </si>
  <si>
    <t>0000 - COBERTURA MUNICIPAL SAN JUAN BAUTISTA TUXTEPEC</t>
  </si>
  <si>
    <t>EQUIPAMIENTO DE ESCUELAS PÚBLICAS DE EDUCACIÓN BÁSICA DEL MUNICIPIO DE: SAN PEDRO JICAYAN</t>
  </si>
  <si>
    <t>0000 - COBERTURA MUNICIPAL SAN PEDRO JICAYÁN</t>
  </si>
  <si>
    <t>EQUIPAMIENTO DE ESCUELAS PÚBLICAS DE EDUCACIÓN BÁSICA DEL MUNICIPIO DE: SAN JUAN JUQUILA VIJANOS</t>
  </si>
  <si>
    <t>201 - SAN JUAN JUQUILA VIJANOS</t>
  </si>
  <si>
    <t>0000 - COBERTURA MUNICIPAL SAN JUAN JUQUILA VIJANOS</t>
  </si>
  <si>
    <t>EQUIPAMIENTO DE ESCUELAS PÚBLICAS DE EDUCACIÓN BÁSICA DEL MUNICIPIO DE: SANTA MARIA COLOTEPEC</t>
  </si>
  <si>
    <t>401 - SANTA MARÍA COLOTEPEC</t>
  </si>
  <si>
    <t>0000 - COBERTURA MUNICIPAL SANTA MARÍA COLOTEPEC</t>
  </si>
  <si>
    <t>EQUIPAMIENTO DE ESCUELAS PÚBLICAS DE EDUCACIÓN BÁSICA DEL MUNICIPIO DE: SAN MIGUEL SOYALTEPEC</t>
  </si>
  <si>
    <t>278 - SAN MIGUEL SOYALTEPEC</t>
  </si>
  <si>
    <t>0000 - COBERTURA MUNICIPAL SAN MIGUEL SOYALTEPEC</t>
  </si>
  <si>
    <t>EQUIPAMIENTO DE ESCUELAS PÚBLICAS DE EDUCACIÓN BÁSICA DEL MUNICIPIO DE: SAN MIGUEL QUETZALTEPEC</t>
  </si>
  <si>
    <t>275 - SAN MIGUEL QUETZALTEPEC</t>
  </si>
  <si>
    <t>0000 - COBERTURA MUNICIPAL SAN MIGUEL QUETZALTEPEC</t>
  </si>
  <si>
    <t>EQUIPAMIENTO DE ESCUELAS PÚBLICAS DE EDUCACIÓN BÁSICA DEL MUNICIPIO DE: SAN PEDRO MIXTEPEC -DTO. 22-</t>
  </si>
  <si>
    <t>318 - SAN PEDRO MIXTEPEC</t>
  </si>
  <si>
    <t>0000 - COBERTURA MUNICIPAL SAN PEDRO MIXTEPEC -DTO. 22 -</t>
  </si>
  <si>
    <t>EQUIPAMIENTO DE ESCUELAS PÚBLICAS DE EDUCACIÓN BÁSICA DEL MUNICIPIO DE: IXTLAN DE JUAREZ</t>
  </si>
  <si>
    <t>EQUIPAMIENTO DE ESCUELAS PÚBLICAS DE EDUCACIÓN BÁSICA DEL MUNICIPIO DE: HEROICA CIUDAD DE TLAXIACO</t>
  </si>
  <si>
    <t>EQUIPAMIENTO DE ESCUELAS PÚBLICAS DE EDUCACIÓN BÁSICA DEL MUNICIPIO DE: SANTIAGO COMALTEPEC</t>
  </si>
  <si>
    <t>458 - SANTIAGO COMALTEPEC</t>
  </si>
  <si>
    <t>0003 - Soledad Tectitlán</t>
  </si>
  <si>
    <t>EQUIPAMIENTO DE ESCUELAS PÚBLICAS DE EDUCACIÓN BÁSICA DEL MUNICIPIO DE: TEOTITLAN DE FLORES MAGON</t>
  </si>
  <si>
    <t>EQUIPAMIENTO DE ESCUELAS PÚBLICAS DE EDUCACIÓN BÁSICA DEL MUNICIPIO DE: SAN JUAN BAUTISTA VALLE NACIONAL</t>
  </si>
  <si>
    <t>0022 - Plan de las Flores</t>
  </si>
  <si>
    <t>EQUIPAMIENTO DE ESCUELAS PÚBLICAS DE EDUCACIÓN BÁSICA DEL MUNICIPIO DE: SAN JUAN QUIAHIJE</t>
  </si>
  <si>
    <t>213 - SAN JUAN QUIAHIJE</t>
  </si>
  <si>
    <t>0001 - San Juan Quiahije</t>
  </si>
  <si>
    <t>EQUIPAMIENTO DE ESCUELAS PÚBLICAS DE EDUCACIÓN BÁSICA DEL MUNICIPIO DE: SANTA MARIA TEOPOXCO</t>
  </si>
  <si>
    <t>434 - SANTA MARÍA TEOPOXCO</t>
  </si>
  <si>
    <t>0001 - Santa María Teopoxco</t>
  </si>
  <si>
    <t>EQUIPAMIENTO DE ESCUELAS PÚBLICAS DE EDUCACIÓN BÁSICA DEL MUNICIPIO DE: SANTA MARIA CHILCHOTLA</t>
  </si>
  <si>
    <t>406 - SANTA MARÍA CHILCHOTLA</t>
  </si>
  <si>
    <t>0064 - San Rafael</t>
  </si>
  <si>
    <t>EQUIPAMIENTO DE ESCUELAS PÚBLICAS DE EDUCACIÓN BÁSICA DEL MUNICIPIO DE: HEROICA CIUDAD DE HUAJUAPAN DE LEON</t>
  </si>
  <si>
    <t>039 - HEROICA CIUDAD DE HUAJUAPAN DE LEÓN</t>
  </si>
  <si>
    <t>0001 - Heroica Ciudad de Huajuapan de León</t>
  </si>
  <si>
    <t>EQUIPAMIENTO DE ESCUELAS PÚBLICAS DE EDUCACIÓN BÁSICA DEL MUNICIPIO DE: SANTA MARIA CHIMALAPA</t>
  </si>
  <si>
    <t>407 - SANTA MARÍA CHIMALAPA</t>
  </si>
  <si>
    <t>0047 - San Antonio Nuevo Paraíso</t>
  </si>
  <si>
    <t>EQUIPAMIENTO DE ESCUELAS PÚBLICAS DE EDUCACIÓN BÁSICA DEL MUNICIPIO DE: SANTIAGO JOCOTEPEC</t>
  </si>
  <si>
    <t>468 - SANTIAGO JOCOTEPEC</t>
  </si>
  <si>
    <t>0015 - Río Chiquito</t>
  </si>
  <si>
    <t>EQUIPAMIENTO DE ESCUELAS PÚBLICAS DE EDUCACIÓN BÁSICA DEL MUNICIPIO DE: MIAHUATLAN DE PORFIRIO DIAZ</t>
  </si>
  <si>
    <t>0006 - Guixe</t>
  </si>
  <si>
    <t>EQUIPAMIENTO DE ESCUELAS PÚBLICAS DE EDUCACIÓN BÁSICA DEL MUNICIPIO DE: SAN JOSE TENANGO</t>
  </si>
  <si>
    <t>171 - SAN JOSÉ TENANGO</t>
  </si>
  <si>
    <t>0008 - Cañada de Mamey</t>
  </si>
  <si>
    <t>EQUIPAMIENTO DE ESCUELAS PÚBLICAS DE EDUCACIÓN BÁSICA DEL MUNICIPIO DE: SANTA MARIA GUIENAGATI</t>
  </si>
  <si>
    <t>412 - SANTA MARÍA GUIENAGATI</t>
  </si>
  <si>
    <t>0001 - Santa María Guienagati</t>
  </si>
  <si>
    <t>EQUIPAMIENTO DE ESCUELAS PÚBLICAS DE EDUCACIÓN BÁSICA DEL MUNICIPIO DE: SAN MIGUEL TLACAMAMA</t>
  </si>
  <si>
    <t>285 - SAN MIGUEL TLACAMAMA</t>
  </si>
  <si>
    <t>0001 - San Miguel Tlacamama</t>
  </si>
  <si>
    <t>EQUIPAMIENTO DE ESCUELAS PÚBLICAS DE EDUCACIÓN BÁSICA DEL MUNICIPIO DE: SANTA MARIA JACATEPEC</t>
  </si>
  <si>
    <t>417 - SANTA MARÍA JACATEPEC</t>
  </si>
  <si>
    <t>0037 - Rancho Alegre</t>
  </si>
  <si>
    <t>EQUIPAMIENTO DE ESCUELAS PÚBLICAS DE EDUCACIÓN BÁSICA DEL MUNICIPIO DE: LOMA BONITA</t>
  </si>
  <si>
    <t>044 - LOMA BONITA</t>
  </si>
  <si>
    <t>0000 - COBERTURA MUNICIPAL LOMA BONITA</t>
  </si>
  <si>
    <t>EQUIPAMIENTO DE ESCUELAS PÚBLICAS DE EDUCACIÓN BÁSICA DEL MUNICIPIO DE: SAN FELIPE JALAPA DE DIAZ</t>
  </si>
  <si>
    <t>134 - SAN FELIPE JALAPA DE DÍAZ</t>
  </si>
  <si>
    <t>0000 - COBERTURA MUNICIPAL SAN FELIPE JALAPA DE DÍAZ</t>
  </si>
  <si>
    <t>EQUIPAMIENTO DE ESCUELAS PÚBLICAS DE EDUCACIÓN BÁSICA DEL MUNICIPIO DE: SAN LUCAS OJITLAN</t>
  </si>
  <si>
    <t>232 - SAN LUCAS OJITLÁN</t>
  </si>
  <si>
    <t>0000 - COBERTURA MUNICIPAL SAN LUCAS OJITLÁN</t>
  </si>
  <si>
    <t>EQUIPAMIENTO DE ESCUELAS PÚBLICAS DE EDUCACIÓN BÁSICA DEL MUNICIPIO DE: SAN PEDRO IXCATLAN</t>
  </si>
  <si>
    <t>0000 - COBERTURA MUNICIPAL SAN PEDRO IXCATLÁN</t>
  </si>
  <si>
    <t>0002 - El Arador</t>
  </si>
  <si>
    <t>EQUIPAMIENTO DE ESCUELAS PÚBLICAS DE EDUCACIÓN BÁSICA DEL MUNICIPIO DE: SANTA CRUZ ZENZONTEPEC</t>
  </si>
  <si>
    <t>386 - SANTA CRUZ ZENZONTEPEC</t>
  </si>
  <si>
    <t>0000 - COBERTURA MUNICIPAL SANTA CRUZ ZENZONTEPEC</t>
  </si>
  <si>
    <t>EQUIPAMIENTO DE ESCUELAS PÚBLICAS DE EDUCACIÓN BÁSICA DEL MUNICIPIO DE: SANTIAGO AMOLTEPEC</t>
  </si>
  <si>
    <t>450 - SANTIAGO AMOLTEPEC</t>
  </si>
  <si>
    <t>0017 - Río Ciruelo</t>
  </si>
  <si>
    <t>EQUIPAMIENTO DE ESCUELAS PÚBLICAS DE EDUCACIÓN BÁSICA DEL MUNICIPIO DE: SANTIAGO TEXTITLAN</t>
  </si>
  <si>
    <t>491 - SANTIAGO TEXTITLÁN</t>
  </si>
  <si>
    <t>0001 - Santiago Textitlán</t>
  </si>
  <si>
    <t>EQUIPAMIENTO DE ESCUELAS PÚBLICAS DE EDUCACIÓN BÁSICA DEL MUNICIPIO DE: VILLA SOLA DE VEGA</t>
  </si>
  <si>
    <t>0063 - San Martín Siempre Viva</t>
  </si>
  <si>
    <t>EQUIPAMIENTO DE ESCUELAS PÚBLICAS DE EDUCACIÓN BÁSICA DEL MUNICIPIO DE: OAXACA DE JUAREZ</t>
  </si>
  <si>
    <t>0000 - COBERTURA MUNICIPAL OAXACA DE JUÁREZ</t>
  </si>
  <si>
    <t>EQUIPAMIENTO DE ESCUELAS PÚBLICAS DE EDUCACIÓN BÁSICA DEL MUNICIPIO DE: SAN JACINTO AMILPAS</t>
  </si>
  <si>
    <t>0000 - COBERTURA MUNICIPAL SAN JACINTO AMILPAS</t>
  </si>
  <si>
    <t>EQUIPAMIENTO DE ESCUELAS PÚBLICAS DE EDUCACIÓN BÁSICA DEL MUNICIPIO DE: SANTA CRUZ XOXOCOTLAN</t>
  </si>
  <si>
    <t>0000 - COBERTURA MUNICIPAL SANTA CRUZ XOXOCOTLÁN</t>
  </si>
  <si>
    <t>EQUIPAMIENTO DE ESCUELAS PÚBLICAS DE EDUCACIÓN BÁSICA DEL MUNICIPIO DE: SANTA LUCIA DEL CAMINO</t>
  </si>
  <si>
    <t>EQUIPAMIENTO DE ESCUELAS PÚBLICAS DE EDUCACIÓN BÁSICA DEL MUNICIPIO DE: SANTA MARIA ATZOMPA</t>
  </si>
  <si>
    <t>399 - SANTA MARÍA ATZOMPA</t>
  </si>
  <si>
    <t>0000 - COBERTURA MUNICIPAL SANTA MARÍA ATZOMPA</t>
  </si>
  <si>
    <t>EQUIPAMIENTO DE ESCUELAS PÚBLICAS DE EDUCACIÓN BÁSICA DEL MUNICIPIO DE: HEROICA CIUDAD DE EJUTLA DE CRESPO</t>
  </si>
  <si>
    <t>028 - HEROICA CIUDAD DE EJUTLA DE CRESPO</t>
  </si>
  <si>
    <t>0000 - COBERTURA MUNICIPAL HEROICA CIUDAD DE EJUTLA DE CRESPO</t>
  </si>
  <si>
    <t>EQUIPAMIENTO DE ESCUELAS PÚBLICAS DE EDUCACIÓN BÁSICA DEL MUNICIPIO DE: REYES ETLA</t>
  </si>
  <si>
    <t>077 - REYES ETLA</t>
  </si>
  <si>
    <t>0001 - Reyes Etla</t>
  </si>
  <si>
    <t>EQUIPAMIENTO DE ESCUELAS PÚBLICAS DE EDUCACIÓN BÁSICA DEL MUNICIPIO DE: SAN AGUSTIN ETLA</t>
  </si>
  <si>
    <t>084 - SAN AGUSTÍN ETLA</t>
  </si>
  <si>
    <t>0001 - San Agustín Etla</t>
  </si>
  <si>
    <t>EQUIPAMIENTO DE ESCUELAS PÚBLICAS DE EDUCACIÓN BÁSICA DEL MUNICIPIO DE: SAN PABLO ETLA</t>
  </si>
  <si>
    <t>293 - SAN PABLO ETLA</t>
  </si>
  <si>
    <t>0001 - San Pablo Etla</t>
  </si>
  <si>
    <t>EQUIPAMIENTO DE ESCUELAS PÚBLICAS DE EDUCACIÓN BÁSICA DEL MUNICIPIO DE: SAN PABLO HUITZO</t>
  </si>
  <si>
    <t>294 - SAN PABLO HUITZO</t>
  </si>
  <si>
    <t>0002 - Santa María Tenéxpam</t>
  </si>
  <si>
    <t>EQUIPAMIENTO DE ESCUELAS PÚBLICAS DE EDUCACIÓN BÁSICA DEL MUNICIPIO DE: SAN JOSE DEL PROGRESO</t>
  </si>
  <si>
    <t>072 - SAN JOSÉ DEL PROGRESO</t>
  </si>
  <si>
    <t>0003 - San José la Garzona</t>
  </si>
  <si>
    <t>EQUIPAMIENTO DE ESCUELAS PÚBLICAS DE EDUCACIÓN BÁSICA DEL MUNICIPIO DE: SAN DIONISIO OCOTEPEC</t>
  </si>
  <si>
    <t>131 - SAN DIONISIO OCOTEPEC</t>
  </si>
  <si>
    <t>0019 - Barrio 3 de Mayo</t>
  </si>
  <si>
    <t>EQUIPAMIENTO DE ESCUELAS PÚBLICAS DE EDUCACIÓN BÁSICA DEL MUNICIPIO DE: SAN JUAN TEITIPAC</t>
  </si>
  <si>
    <t>219 - SAN JUAN TEITIPAC</t>
  </si>
  <si>
    <t>0001 - San Juan Teitipac</t>
  </si>
  <si>
    <t>EQUIPAMIENTO DE ESCUELAS PÚBLICAS DE EDUCACIÓN BÁSICA DEL MUNICIPIO DE: SAN PABLO VILLA DE MITLA</t>
  </si>
  <si>
    <t>298 - SAN PABLO VILLA DE MITLA</t>
  </si>
  <si>
    <t>0000 - COBERTURA MUNICIPAL SAN PABLO VILLA DE MITLA</t>
  </si>
  <si>
    <t>EQUIPAMIENTO DE ESCUELAS PÚBLICAS DE EDUCACIÓN BÁSICA DEL MUNICIPIO DE: SANTIAGO MATATLAN</t>
  </si>
  <si>
    <t>0007 - Río Grande</t>
  </si>
  <si>
    <t>EQUIPAMIENTO DE ESCUELAS PÚBLICAS DE EDUCACIÓN BÁSICA DEL MUNICIPIO DE: TLACOLULA DE MATAMOROS</t>
  </si>
  <si>
    <t>551 - TLACOLULA DE MATAMOROS</t>
  </si>
  <si>
    <t>0000 - COBERTURA MUNICIPAL TLACOLULA DE MATAMOROS</t>
  </si>
  <si>
    <t>EQUIPAMIENTO DE ESCUELAS PÚBLICAS DE EDUCACIÓN BÁSICA DEL MUNICIPIO DE: VILLA DIAZ ORDAZ</t>
  </si>
  <si>
    <t>560 - VILLA DÍAZ ORDAZ</t>
  </si>
  <si>
    <t>0003 - San Miguel del Valle</t>
  </si>
  <si>
    <t>EQUIPAMIENTO DE ESCUELAS PÚBLICAS DE EDUCACIÓN BÁSICA DEL MUNICIPIO DE: VILLA DE ZAACHILA</t>
  </si>
  <si>
    <t>0000 - COBERTURA MUNICIPAL VILLA DE ZAACHILA</t>
  </si>
  <si>
    <t>EQUIPAMIENTO DE ESCUELAS PÚBLICAS DE EDUCACIÓN BÁSICA DEL MUNICIPIO DE: SANTA GERTRUDIS</t>
  </si>
  <si>
    <t>387 - SANTA GERTRUDIS</t>
  </si>
  <si>
    <t>0001 - Santa Gertrudis</t>
  </si>
  <si>
    <t>0004 - Arroyo Metate</t>
  </si>
  <si>
    <t>EQUIPAMIENTO DE ESCUELAS PÚBLICAS DE EDUCACIÓN BÁSICA DEL MUNICIPIO DE: SAN PEDRO YÓLOX</t>
  </si>
  <si>
    <t>336 - SAN PEDRO YÓLOX</t>
  </si>
  <si>
    <t>0004 - Rosario Temextitlán</t>
  </si>
  <si>
    <t>EQUIPAMIENTO DE ESCUELAS PÚBLICAS DE EDUCACIÓN BÁSICA DEL MUNICIPIO DE: SAN JUAN COTZOCON</t>
  </si>
  <si>
    <t>EQUIPAMIENTO DE ESCUELAS PÚBLICAS DE EDUCACIÓN BÁSICA DEL MUNICIPIO DE:CONSTANCIA DEL ROSARIO</t>
  </si>
  <si>
    <t>020 - CONSTANCIA DEL ROSARIO</t>
  </si>
  <si>
    <t>0001 - Constancia del Rosario</t>
  </si>
  <si>
    <t>0002 - Buena Vista</t>
  </si>
  <si>
    <t>EQUIPAMIENTO DE ESCUELAS PÚBLICAS DE EDUCACIÓN BÁSICA DEL MUNICIPIO DE: ASUNCION TLACOLULITA</t>
  </si>
  <si>
    <t>27 - YAUTEPEC</t>
  </si>
  <si>
    <t>008 - ASUNCIÓN TLACOLULITA</t>
  </si>
  <si>
    <t>0002 - San Juan Alotepec</t>
  </si>
  <si>
    <t>EQUIPAMIENTO DE ESCUELAS PÚBLICAS DE EDUCACIÓN BÁSICA DEL MUNICIPIO DE: CUILAPAM DE GUERRERO</t>
  </si>
  <si>
    <t>023 - CUILÁPAM DE GUERRERO</t>
  </si>
  <si>
    <t>0009 - Carrizal</t>
  </si>
  <si>
    <t>EQUIPAMIENTO DE ESCUELAS PÚBLICAS DE EDUCACIÓN BÁSICA DEL MUNICIPIO DE: SAN ANTONIO DE LA CAL</t>
  </si>
  <si>
    <t>107 - SAN ANTONIO DE LA CAL</t>
  </si>
  <si>
    <t>0001 - San Antonio de la Cal</t>
  </si>
  <si>
    <t>EQUIPAMIENTO DE ESCUELAS PÚBLICAS DE EDUCACIÓN BÁSICA DEL MUNICIPIO DE: SAN SEBASTIAN TUTLA</t>
  </si>
  <si>
    <t>350 - SAN SEBASTIÁN TUTLA</t>
  </si>
  <si>
    <t>0001 - San Sebastián Tutla</t>
  </si>
  <si>
    <t>EQUIPAMIENTO DE ESCUELAS PÚBLICAS DE EDUCACIÓN BÁSICA DEL MUNICIPIO DE: LA COMPAÑIA</t>
  </si>
  <si>
    <t>0009 - El Vado</t>
  </si>
  <si>
    <t>EQUIPAMIENTO DE ESCUELAS PÚBLICAS DE EDUCACIÓN BÁSICA DEL MUNICIPIO DE: SAN MARTIN DE LOS CANSECOS</t>
  </si>
  <si>
    <t>EQUIPAMIENTO DE ESCUELAS PÚBLICAS DE EDUCACIÓN BÁSICA DEL MUNICIPIO DE: SAN JUAN BAUTISTA GUELACHE</t>
  </si>
  <si>
    <t>178 - SAN JUAN BAUTISTA GUELACHE</t>
  </si>
  <si>
    <t>0001 - San Juan Bautista Guelache</t>
  </si>
  <si>
    <t>0001 - San Pablo Huitzo</t>
  </si>
  <si>
    <t>EQUIPAMIENTO DE ESCUELAS PÚBLICAS DE EDUCACIÓN BÁSICA DEL MUNICIPIO DE: SANTIAGO TLAZOYALTEPEC</t>
  </si>
  <si>
    <t>494 - SANTIAGO TLAZOYALTEPEC</t>
  </si>
  <si>
    <t>0004 - Tierra Caliente</t>
  </si>
  <si>
    <t>EQUIPAMIENTO DE ESCUELAS PÚBLICAS DE EDUCACIÓN BÁSICA DEL MUNICIPIO DE: VILLA DE ETLA</t>
  </si>
  <si>
    <t>338 - VILLA DE ETLA</t>
  </si>
  <si>
    <t>0001 - Villa de Etla</t>
  </si>
  <si>
    <t>EQUIPAMIENTO DE ESCUELAS PÚBLICAS DE EDUCACIÓN BÁSICA DEL MUNICIPIO DE: OCOTLAN DE MORELOS</t>
  </si>
  <si>
    <t>068 - OCOTLÁN DE MORELOS</t>
  </si>
  <si>
    <t>0019 - Rancho Galea</t>
  </si>
  <si>
    <t>0002 - San José del Paso</t>
  </si>
  <si>
    <t>0039 - Rancho Valle del Lago [Fraccionamiento]</t>
  </si>
  <si>
    <t>EQUIPAMIENTO DE ESCUELAS PÚBLICAS DE EDUCACIÓN BÁSICA DEL MUNICIPIO DE: SAN ANTONIO HUITEPEC</t>
  </si>
  <si>
    <t>108 - SAN ANTONIO HUITEPEC</t>
  </si>
  <si>
    <t>0005 - San Francisco Yocucundo</t>
  </si>
  <si>
    <t>EQUIPAMIENTO DE ESCUELAS PÚBLICAS DE EDUCACIÓN BÁSICA DEL MUNICIPIO DE: SANTA ANA TLAPACOYAN</t>
  </si>
  <si>
    <t>358 - SANTA ANA TLAPACOYAN</t>
  </si>
  <si>
    <t>0000 - COBERTURA MUNICIPAL SANTA ANA TLAPACOYAN</t>
  </si>
  <si>
    <t>EQUIPAMIENTO DE ESCUELAS PÚBLICAS DE EDUCACIÓN BÁSICA DEL MUNICIPIO DE: SAN MARTIN TOXPALAN</t>
  </si>
  <si>
    <t>244 - SAN MARTÍN TOXPALAN</t>
  </si>
  <si>
    <t>0001 - San Martín Toxpalan</t>
  </si>
  <si>
    <t>EQUIPAMIENTO DE ESCUELAS PÚBLICAS DE EDUCACIÓN BÁSICA DEL MUNICIPIO DE: SAN PEDRO TEUTILA</t>
  </si>
  <si>
    <t>0007 - Piedra Ancha o la Raya</t>
  </si>
  <si>
    <t>EQUIPAMIENTO DE ESCUELAS PÚBLICAS DE EDUCACIÓN BÁSICA DEL MUNICIPIO DE: VALERIO TRUJANO</t>
  </si>
  <si>
    <t>558 - VALERIO TRUJANO</t>
  </si>
  <si>
    <t>0001 - Valerio Trujano</t>
  </si>
  <si>
    <t>EQUIPAMIENTO DE ESCUELAS PÚBLICAS DE EDUCACIÓN BÁSICA DEL MUNICIPIO DE: PINOTEPA DE DON LUIS</t>
  </si>
  <si>
    <t>070 - PINOTEPA DE DON LUIS</t>
  </si>
  <si>
    <t>0007 - Yucuchá</t>
  </si>
  <si>
    <t>EQUIPAMIENTO DE ESCUELAS PÚBLICAS DE EDUCACIÓN BÁSICA DEL MUNICIPIO DE: SAN MIGUEL DEL PUERTO</t>
  </si>
  <si>
    <t>0026 - Santa María Petatengo</t>
  </si>
  <si>
    <t>EQUIPAMIENTO DE ESCUELAS PÚBLICAS DE EDUCACIÓN BÁSICA DEL MUNICIPIO DE: SAN PEDRO POCHUTLA</t>
  </si>
  <si>
    <t>0000 - COBERTURA MUNICIPAL SAN PEDRO POCHUTLA</t>
  </si>
  <si>
    <t>0001 - Santa María Colotepec</t>
  </si>
  <si>
    <t>EQUIPAMIENTO DE ESCUELAS PÚBLICAS DE EDUCACIÓN BÁSICA DEL MUNICIPIO DE: SANTA MARIA HUATULCO</t>
  </si>
  <si>
    <t>0000 - COBERTURA MUNICIPAL SANTA MARÍA HUATULCO</t>
  </si>
  <si>
    <t>EQUIPAMIENTO DE ESCUELAS PÚBLICAS DE EDUCACIÓN BÁSICA DEL MUNICIPIO DE: SANTA MARIA HUAZOLOTITLAN</t>
  </si>
  <si>
    <t>414 - SANTA MARÍA HUAZOLOTITLÁN</t>
  </si>
  <si>
    <t>0000 - COBERTURA MUNICIPAL SANTA MARÍA HUAZOLOTITLÁN</t>
  </si>
  <si>
    <t>EQUIPAMIENTO DE ESCUELAS PÚBLICAS DE EDUCACIÓN BÁSICA DEL MUNICIPIO DE: SANTIAGO JAMILTEPEC</t>
  </si>
  <si>
    <t>0000 - COBERTURA MUNICIPAL SANTIAGO JAMILTEPEC</t>
  </si>
  <si>
    <t>EQUIPAMIENTO DE ESCUELAS PÚBLICAS DE EDUCACIÓN BÁSICA DEL MUNICIPIO DE: SANTO DOMINGO DE MORELOS</t>
  </si>
  <si>
    <t>0013 - Las Pilas</t>
  </si>
  <si>
    <t>EQUIPAMIENTO DE ESCUELAS PÚBLICAS DE EDUCACIÓN BÁSICA DEL MUNICIPIO DE: SANTOS REYES NOPALA</t>
  </si>
  <si>
    <t>526 - SANTOS REYES NOPALA</t>
  </si>
  <si>
    <t>0000 - COBERTURA MUNICIPAL SANTOS REYES NOPALA</t>
  </si>
  <si>
    <t>0025 - Playa San Vicente</t>
  </si>
  <si>
    <t>EQUIPAMIENTO DE ESCUELAS PÚBLICAS DE EDUCACIÓN BÁSICA DEL MUNICIPIO DE: MATIAS ROMERO AVENDAÑO</t>
  </si>
  <si>
    <t>057 - MATÍAS ROMERO AVENDAÑO</t>
  </si>
  <si>
    <t>0018 - Palomares</t>
  </si>
  <si>
    <t>EQUIPAMIENTO DE ESCUELAS PÚBLICAS DE EDUCACIÓN BÁSICA DEL MUNICIPIO DE: SALINA CRUZ</t>
  </si>
  <si>
    <t>079 - SALINA CRUZ</t>
  </si>
  <si>
    <t>0000 - COBERTURA MUNICIPAL SALINA CRUZ</t>
  </si>
  <si>
    <t>EQUIPAMIENTO DE ESCUELAS PÚBLICAS DE EDUCACIÓN BÁSICA DEL MUNICIPIO DE: SAN JUAN GUICHICOVI</t>
  </si>
  <si>
    <t>198 - SAN JUAN GUICHICOVI</t>
  </si>
  <si>
    <t>0000 - COBERTURA MUNICIPAL SAN JUAN GUICHICOVI</t>
  </si>
  <si>
    <t>0003 - Cieneguilla</t>
  </si>
  <si>
    <t>EQUIPAMIENTO DE ESCUELAS PÚBLICAS DE EDUCACIÓN BÁSICA DEL MUNICIPIO DE: SAN PEDRO TAPANATEPEC</t>
  </si>
  <si>
    <t>327 - SAN PEDRO TAPANATEPEC</t>
  </si>
  <si>
    <t>0000 - COBERTURA MUNICIPAL SAN PEDRO TAPANATEPEC</t>
  </si>
  <si>
    <t>EQUIPAMIENTO DE ESCUELAS PÚBLICAS DE EDUCACIÓN BÁSICA DEL MUNICIPIO DE: SANTIAGO ASTATA</t>
  </si>
  <si>
    <t>453 - SANTIAGO ASTATA</t>
  </si>
  <si>
    <t>0001 - Santiago Astata</t>
  </si>
  <si>
    <t>EQUIPAMIENTO DE ESCUELAS PÚBLICAS DE EDUCACIÓN BÁSICA DEL MUNICIPIO DE: ASUNCION NOCHIXTLAN</t>
  </si>
  <si>
    <t>006 - ASUNCIÓN NOCHIXTLÁN</t>
  </si>
  <si>
    <t>0000 - COBERTURA MUNICIPAL ASUNCIÓN NOCHIXTLÁN</t>
  </si>
  <si>
    <t>EQUIPAMIENTO DE ESCUELAS PÚBLICAS DE EDUCACIÓN BÁSICA DEL MUNICIPIO DE: CHALCATONGO DE HIDALGO</t>
  </si>
  <si>
    <t>026 - CHALCATONGO DE HIDALGO</t>
  </si>
  <si>
    <t>0018 - Zaragoza</t>
  </si>
  <si>
    <t>0000 - COBERTURA MUNICIPAL HEROICA CIUDAD DE HUAJUAPAN DE LEÓN</t>
  </si>
  <si>
    <t>0000 - COBERTURA MUNICIPAL HEROICA CIUDAD DE TLAXIACO</t>
  </si>
  <si>
    <t>EQUIPAMIENTO DE ESCUELAS PÚBLICAS DE EDUCACIÓN BÁSICA DEL MUNICIPIO DE: SAN ANTONIO SINICAHUA</t>
  </si>
  <si>
    <t>110 - SAN ANTONIO SINICAHUA</t>
  </si>
  <si>
    <t>0002 - Buenavista</t>
  </si>
  <si>
    <t>EQUIPAMIENTO DE ESCUELAS PÚBLICAS DE EDUCACIÓN BÁSICA DEL MUNICIPIO DE: SAN JUAN BAUTISTA SUCHITEPEC</t>
  </si>
  <si>
    <t>181 - SAN JUAN BAUTISTA SUCHITEPEC</t>
  </si>
  <si>
    <t>0000 - COBERTURA MUNICIPAL SAN JUAN BAUTISTA SUCHITEPEC</t>
  </si>
  <si>
    <t>EQUIPAMIENTO DE ESCUELAS PÚBLICAS DE EDUCACIÓN BÁSICA DEL MUNICIPIO DE: SAN JUAN MIXTEPEC -DTO. 08-</t>
  </si>
  <si>
    <t>208 - SAN JUAN MIXTEPEC -DTO. 08 -</t>
  </si>
  <si>
    <t>0015 - San Juan Cahuayaxi</t>
  </si>
  <si>
    <t>EQUIPAMIENTO DE ESCUELAS PÚBLICAS DE EDUCACIÓN BÁSICA DEL MUNICIPIO DE: SAN MIGUEL AHUEHUETITLAN</t>
  </si>
  <si>
    <t>259 - SAN MIGUEL AHUEHUETITLÁN</t>
  </si>
  <si>
    <t>0001 - San Miguel Ahuehuetitlán</t>
  </si>
  <si>
    <t>EQUIPAMIENTO DE ESCUELAS PÚBLICAS DE EDUCACIÓN BÁSICA DEL MUNICIPIO DE: SAN PEDRO Y SAN PABLO TEQUIXTEPEC</t>
  </si>
  <si>
    <t>0018 - Guadalupe Mezquital</t>
  </si>
  <si>
    <t>EQUIPAMIENTO DE ESCUELAS PÚBLICAS DE EDUCACIÓN BÁSICA DEL MUNICIPIO DE: SANTA MAGDALENA JICOTLAN</t>
  </si>
  <si>
    <t>047 - SANTA MAGDALENA JICOTLÁN</t>
  </si>
  <si>
    <t>0001 - Santa Magdalena Jicotlán</t>
  </si>
  <si>
    <t>EQUIPAMIENTO DE ESCUELAS PÚBLICAS DE EDUCACIÓN BÁSICA DEL MUNICIPIO DE: SANTA MARIA YUCUHITI</t>
  </si>
  <si>
    <t>446 - SANTA MARÍA YUCUHITI</t>
  </si>
  <si>
    <t>0000 - COBERTURA MUNICIPAL SANTA MARÍA YUCUHITI</t>
  </si>
  <si>
    <t>EQUIPAMIENTO DE ESCUELAS PÚBLICAS DE EDUCACIÓN BÁSICA DEL MUNICIPIO DE: SANTIAGO JUXTLAHUACA</t>
  </si>
  <si>
    <t>0000 - COBERTURA MUNICIPAL SANTIAGO JUXTLAHUACA</t>
  </si>
  <si>
    <t>EQUIPAMIENTO DE ESCUELAS PÚBLICAS DE EDUCACIÓN BÁSICA DEL MUNICIPIO DE: SANTIAGO NUNDICHE</t>
  </si>
  <si>
    <t>480 - SANTIAGO NUNDICHE</t>
  </si>
  <si>
    <t>0001 - Santiago Nundiche</t>
  </si>
  <si>
    <t>EQUIPAMIENTO DE ESCUELAS PÚBLICAS DE EDUCACIÓN BÁSICA DEL MUNICIPIO DE: SANTIAGO TAMAZOLA</t>
  </si>
  <si>
    <t>484 - SANTIAGO TAMAZOLA</t>
  </si>
  <si>
    <t>0005 - Santa Ana Rayón</t>
  </si>
  <si>
    <t>EQUIPAMIENTO DE ESCUELAS PÚBLICAS DE EDUCACIÓN BÁSICA DEL MUNICIPIO DE: SANTO TOMAS OCOTEPEC</t>
  </si>
  <si>
    <t>0000 - COBERTURA MUNICIPAL SANTO TOMÁS OCOTEPEC</t>
  </si>
  <si>
    <t>EQUIPAMIENTO DE ESCUELAS PÚBLICAS DE EDUCACIÓN BÁSICA DEL MUNICIPIO DE: TEZOATLAN DE SEGURA Y LUNA</t>
  </si>
  <si>
    <t>0018 - Yucuquimi de Ocampo</t>
  </si>
  <si>
    <t>EQUIPAMIENTO DE ESCUELAS PÚBLICAS DE EDUCACIÓN BÁSICA DEL MUNICIPIO DE: AYOTZINTEPEC</t>
  </si>
  <si>
    <t>009 - AYOTZINTEPEC</t>
  </si>
  <si>
    <t>0000 - COBERTURA MUNICIPAL AYOTZINTEPEC</t>
  </si>
  <si>
    <t>0026 - Vega del Sol</t>
  </si>
  <si>
    <t>EQUIPAMIENTO DE ESCUELAS PÚBLICAS DE EDUCACIÓN BÁSICA DEL MUNICIPIO DE: SAN JUAN MAZATLAN</t>
  </si>
  <si>
    <t>207 - SAN JUAN MAZATLÁN</t>
  </si>
  <si>
    <t>0000 - COBERTURA MUNICIPAL SAN JUAN MAZATLÁN</t>
  </si>
  <si>
    <t>EQUIPAMIENTO DE ESCUELAS PÚBLICAS DE EDUCACIÓN BÁSICA DEL MUNICIPIO DE: SANTIAGO CAMOTLAN</t>
  </si>
  <si>
    <t>457 - SANTIAGO CAMOTLÁN</t>
  </si>
  <si>
    <t>0000 - COBERTURA MUNICIPAL SANTIAGO CAMOTLÁN</t>
  </si>
  <si>
    <t>EQUIPAMIENTO DE ESCUELAS PÚBLICAS DE EDUCACIÓN BÁSICA DEL MUNICIPIO DE: SANTO DOMINGO TEPUXTEPEC</t>
  </si>
  <si>
    <t>0001 - Miahuatlán de Porfirio Díaz</t>
  </si>
  <si>
    <t>EQUIPAMIENTO DE ESCUELAS PÚBLICAS DE EDUCACIÓN BÁSICA DEL MUNICIPIO DE: SAN CARLOS YAUTEPEC</t>
  </si>
  <si>
    <t>125 - SAN CARLOS YAUTEPEC</t>
  </si>
  <si>
    <t>0023 - San Pedro Tepalcatepec</t>
  </si>
  <si>
    <t>EQUIPAMIENTO DE ESCUELAS PÚBLICAS DE EDUCACIÓN BÁSICA DEL MUNICIPIO DE: SAN CRISTOBAL AMATLAN</t>
  </si>
  <si>
    <t>126 - SAN CRISTÓBAL AMATLÁN</t>
  </si>
  <si>
    <t>0008 - Los Sabinos [Rancho]</t>
  </si>
  <si>
    <t>EQUIPAMIENTO DE ESCUELAS PÚBLICAS DE EDUCACIÓN BÁSICA DEL MUNICIPIO DE: SAN FRANCISCO LOGUECHE</t>
  </si>
  <si>
    <t>146 - SAN FRANCISCO LOGUECHE</t>
  </si>
  <si>
    <t>0000 - COBERTURA MUNICIPAL SAN FRANCISCO LOGUECHE</t>
  </si>
  <si>
    <t>EQUIPAMIENTO DE ESCUELAS PÚBLICAS DE EDUCACIÓN BÁSICA DEL MUNICIPIO DE: SAN FRANCISCO OZOLOTEPEC</t>
  </si>
  <si>
    <t>148 - SAN FRANCISCO OZOLOTEPEC</t>
  </si>
  <si>
    <t>0002 - San José Ozolotepec</t>
  </si>
  <si>
    <t>EQUIPAMIENTO DE ESCUELAS PÚBLICAS DE EDUCACIÓN BÁSICA DEL MUNICIPIO DE: SAN JACINTO TLACOTEPEC</t>
  </si>
  <si>
    <t>158 - SAN JACINTO TLACOTEPEC</t>
  </si>
  <si>
    <t>0001 - San Jacinto Tlacotepec</t>
  </si>
  <si>
    <t>EQUIPAMIENTO DE ESCUELAS PÚBLICAS DE EDUCACIÓN BÁSICA DEL MUNICIPIO DE: SANTA MARIA QUIEGOLANI</t>
  </si>
  <si>
    <t>428 - SANTA MARÍA QUIEGOLANI</t>
  </si>
  <si>
    <t>0002 - San José Quianitas</t>
  </si>
  <si>
    <t>EQUIPAMIENTO DE ESCUELAS PÚBLICAS DE EDUCACIÓN BÁSICA DEL MUNICIPIO DE: SANTIAGO XANICA</t>
  </si>
  <si>
    <t>495 - SANTIAGO XANICA</t>
  </si>
  <si>
    <t>0000 - COBERTURA MUNICIPAL SANTIAGO XANICA</t>
  </si>
  <si>
    <t>EQUIPAMIENTO DE ESCUELAS PÚBLICAS DE EDUCACIÓN BÁSICA DEL MUNICIPIO DE: SAN ANDRES IXTLAHUACA</t>
  </si>
  <si>
    <t>092 - SAN ANDRÉS IXTLAHUACA</t>
  </si>
  <si>
    <t>0000 - COBERTURA MUNICIPAL SAN ANDRÉS IXTLAHUACA</t>
  </si>
  <si>
    <t>EQUIPAMIENTO DE ESCUELAS PÚBLICAS DE EDUCACIÓN BÁSICA DEL MUNICIPIO DE: SAN FELIPE TEJALAPAM</t>
  </si>
  <si>
    <t>135 - SAN FELIPE TEJALÁPAM</t>
  </si>
  <si>
    <t>0000 - COBERTURA MUNICIPAL SAN FELIPE TEJALÁPAM</t>
  </si>
  <si>
    <t>0007 - El Cuajilote</t>
  </si>
  <si>
    <t>0001 - San Pablo Villa de Mitla</t>
  </si>
  <si>
    <t>EQUIPAMIENTO DE ESCUELAS PÚBLICAS DE EDUCACIÓN BÁSICA DEL MUNICIPIO DE: SAN PEDRO IXTLAHUACA</t>
  </si>
  <si>
    <t>310 - SAN PEDRO IXTLAHUACA</t>
  </si>
  <si>
    <t>0000 - COBERTURA MUNICIPAL SAN PEDRO IXTLAHUACA</t>
  </si>
  <si>
    <t>EQUIPAMIENTO DE ESCUELAS PÚBLICAS DE EDUCACIÓN BÁSICA DEL MUNICIPIO DE: SAN PEDRO TOTOLAPA</t>
  </si>
  <si>
    <t>333 - SAN PEDRO TOTOLÁPAM</t>
  </si>
  <si>
    <t>0000 - COBERTURA MUNICIPAL SAN PEDRO TOTOLÁPAM</t>
  </si>
  <si>
    <t>EQUIPAMIENTO DE ESCUELAS PÚBLICAS DE EDUCACIÓN BÁSICA DEL MUNICIPIO DE: SANTA CRUZ MIXTEPEC</t>
  </si>
  <si>
    <t>378 - SANTA CRUZ MIXTEPEC</t>
  </si>
  <si>
    <t>0000 - COBERTURA MUNICIPAL SANTA CRUZ MIXTEPEC</t>
  </si>
  <si>
    <t>EQUIPAMIENTO DE ESCUELAS PÚBLICAS DE EDUCACIÓN BÁSICA DEL MUNICIPIO DE: SANTIAGO SUCHILQUITONGO</t>
  </si>
  <si>
    <t>0000 - COBERTURA MUNICIPAL SANTIAGO SUCHILQUITONGO</t>
  </si>
  <si>
    <t>EQUIPAMIENTO DE ESCUELAS PÚBLICAS DE EDUCACIÓN BÁSICA DEL MUNICIPIO DE: SANTO TOMAS JALIEZA</t>
  </si>
  <si>
    <t>530 - SANTO TOMÁS JALIEZA</t>
  </si>
  <si>
    <t>0003 - Santa Cecilia Jalieza</t>
  </si>
  <si>
    <t>0003 - Santo Domingo Barrio Alto</t>
  </si>
  <si>
    <t>0001 - Villa de Zaachila</t>
  </si>
  <si>
    <t>EQUIPAMIENTO DE ESCUELAS PÚBLICAS DE EDUCACIÓN BÁSICA DEL MUNICIPIO DE: SANTA MARIA PEÑOLES</t>
  </si>
  <si>
    <t>426 - SANTA MARÍA PEÑOLES</t>
  </si>
  <si>
    <t>0000 - COBERTURA MUNICIPAL SANTA MARÍA PEÑOLES</t>
  </si>
  <si>
    <t>EQUIPAMIENTO DE ESCUELAS PÚBLICAS DE EDUCACIÓN BÁSICA DEL MUNICIPIO DE: SAN JUAN BAUTISTA TLACOATZINTEPEC</t>
  </si>
  <si>
    <t>182 - SAN JUAN BAUTISTA TLACOATZINTEPEC</t>
  </si>
  <si>
    <t>0001 - San Juan Bautista Tlacoatzintepec</t>
  </si>
  <si>
    <t>EQUIPAMIENTO DE ESCUELAS PÚBLICAS DE EDUCACIÓN BÁSICA DEL MUNICIPIO DE: HUAUTLA DE JIMENEZ</t>
  </si>
  <si>
    <t>041 - HUAUTLA DE JIMÉNEZ</t>
  </si>
  <si>
    <t>0078 - Plan de Basura</t>
  </si>
  <si>
    <t>EQUIPAMIENTO DE ESCUELAS PÚBLICAS DE EDUCACIÓN BÁSICA DEL MUNICIPIO DE: SAN JERONIMO TECOATL</t>
  </si>
  <si>
    <t>163 - SAN JERÓNIMO TECÓATL</t>
  </si>
  <si>
    <t>0003 - Plan de Guadalupe</t>
  </si>
  <si>
    <t>0015 - Santa Catarina</t>
  </si>
  <si>
    <t>EQUIPAMIENTO DE ESCUELAS PÚBLICAS DE EDUCACIÓN BÁSICA DEL MUNICIPIO DE: SAN LUCAS ZOQUIAPAM</t>
  </si>
  <si>
    <t>234 - SAN LUCAS ZOQUIÁPAM</t>
  </si>
  <si>
    <t>0000 - COBERTURA MUNICIPAL SAN LUCAS ZOQUIÁPAM</t>
  </si>
  <si>
    <t>0000 - COBERTURA MUNICIPAL SANTA MARÍA CHILCHOTLA</t>
  </si>
  <si>
    <t>EQUIPAMIENTO DE ESCUELAS PÚBLICAS DE EDUCACIÓN BÁSICA DEL MUNICIPIO DE: SANTIAGO TEXCALCINGO</t>
  </si>
  <si>
    <t>490 - SANTIAGO TEXCALCINGO</t>
  </si>
  <si>
    <t>0001 - Santiago Texcalcingo</t>
  </si>
  <si>
    <t>EQUIPAMIENTO DE ESCUELAS PÚBLICAS DE EDUCACIÓN BÁSICA DEL MUNICIPIO DE: SAN PEDRO ATOYAC</t>
  </si>
  <si>
    <t>302 - SAN PEDRO ATOYAC</t>
  </si>
  <si>
    <t>0001 - San Pedro Atoyac</t>
  </si>
  <si>
    <t>EQUIPAMIENTO DE ESCUELAS PÚBLICAS DE EDUCACIÓN BÁSICA DEL MUNICIPIO DE: SANTIAGO PINOTEPA NACIONAL</t>
  </si>
  <si>
    <t>0011 - Cruz del Itacuán</t>
  </si>
  <si>
    <t>0009 - Puerto Escondido</t>
  </si>
  <si>
    <t>EQUIPAMIENTO DE ESCUELAS PÚBLICAS DE EDUCACIÓN BÁSICA DEL MUNICIPIO DE: SANTA CATARINA JUQUILA</t>
  </si>
  <si>
    <t>0000 - COBERTURA MUNICIPAL SANTA CATARINA JUQUILA</t>
  </si>
  <si>
    <t>EQUIPAMIENTO DE ESCUELAS PÚBLICAS DE EDUCACIÓN BÁSICA DEL MUNICIPIO DE: TATALTEPEC DE VALDES</t>
  </si>
  <si>
    <t>543 - TATALTEPEC DE VALDÉS</t>
  </si>
  <si>
    <t>0000 - COBERTURA MUNICIPAL TATALTEPEC DE VALDÉS</t>
  </si>
  <si>
    <t>EQUIPAMIENTO DE ESCUELAS PÚBLICAS DE EDUCACIÓN BÁSICA DEL MUNICIPIO DE: SAN AGUSTIN LOXICHA</t>
  </si>
  <si>
    <t>0000 - COBERTURA MUNICIPAL SAN AGUSTÍN LOXICHA</t>
  </si>
  <si>
    <t>0000 - COBERTURA MUNICIPAL SAN MIGUEL DEL PUERTO</t>
  </si>
  <si>
    <t>0030 - El Venado</t>
  </si>
  <si>
    <t>EQUIPAMIENTO DE ESCUELAS PÚBLICAS DE EDUCACIÓN BÁSICA DEL MUNICIPIO DE: ASUNCION IXTALTEPEC</t>
  </si>
  <si>
    <t>005 - ASUNCIÓN IXTALTEPEC</t>
  </si>
  <si>
    <t>0000 - COBERTURA MUNICIPAL ASUNCIÓN IXTALTEPEC</t>
  </si>
  <si>
    <t>0000 - COBERTURA MUNICIPAL MATÍAS ROMERO AVENDAÑO</t>
  </si>
  <si>
    <t>EQUIPAMIENTO DE ESCUELAS PÚBLICAS DE EDUCACIÓN BÁSICA DEL MUNICIPIO DE: SAN DIONISIO DEL MAR</t>
  </si>
  <si>
    <t>130 - SAN DIONISIO DEL MAR</t>
  </si>
  <si>
    <t>0001 - San Dionisio del Mar</t>
  </si>
  <si>
    <t>EQUIPAMIENTO DE ESCUELAS PÚBLICAS DE EDUCACIÓN BÁSICA DEL MUNICIPIO DE: SAN FRANCISCO DEL MAR</t>
  </si>
  <si>
    <t>0001 - San Francisco del Mar Pueblo Viejo</t>
  </si>
  <si>
    <t>EQUIPAMIENTO DE ESCUELAS PÚBLICAS DE EDUCACIÓN BÁSICA DEL MUNICIPIO DE: SANTA MARIA PETAPA</t>
  </si>
  <si>
    <t>427 - SANTA MARÍA PETAPA</t>
  </si>
  <si>
    <t>0001 - Santa María Petapa</t>
  </si>
  <si>
    <t>0001 - Santa María Xadani</t>
  </si>
  <si>
    <t>EQUIPAMIENTO DE ESCUELAS PÚBLICAS DE EDUCACIÓN BÁSICA DEL MUNICIPIO DE: SANTO DOMINGO INGENIO</t>
  </si>
  <si>
    <t>0002 - La Blanca</t>
  </si>
  <si>
    <t>EQUIPAMIENTO DE ESCUELAS PÚBLICAS DE EDUCACIÓN BÁSICA DEL MUNICIPIO DE: UNION HIDALGO</t>
  </si>
  <si>
    <t>557 - UNIÓN HIDALGO</t>
  </si>
  <si>
    <t>0001 - Unión Hidalgo</t>
  </si>
  <si>
    <t>EQUIPAMIENTO DE ESCUELAS PÚBLICAS DE EDUCACIÓN BÁSICA DEL MUNICIPIO DE: SAN PEDRO HUAMELULA</t>
  </si>
  <si>
    <t>307 - SAN PEDRO HUAMELULA</t>
  </si>
  <si>
    <t>0000 - COBERTURA MUNICIPAL SAN PEDRO HUAMELULA</t>
  </si>
  <si>
    <t>0009 - Algodón</t>
  </si>
  <si>
    <t>0001 - Santo Domingo Tehuantepec</t>
  </si>
  <si>
    <t>EQUIPAMIENTO DE ESCUELAS PÚBLICAS DE EDUCACIÓN BÁSICA DEL MUNICIPIO DE: CONCEPCION BUENAVISTA</t>
  </si>
  <si>
    <t>018 - CONCEPCIÓN BUENAVISTA</t>
  </si>
  <si>
    <t>0002 - El Enebro</t>
  </si>
  <si>
    <t>EQUIPAMIENTO DE ESCUELAS PÚBLICAS DE EDUCACIÓN BÁSICA DEL MUNICIPIO DE: SAN ANDRES DINICUITI</t>
  </si>
  <si>
    <t>089 - SAN ANDRÉS DINICUITI</t>
  </si>
  <si>
    <t>0004 - San Antonio de León</t>
  </si>
  <si>
    <t>EQUIPAMIENTO DE ESCUELAS PÚBLICAS DE EDUCACIÓN BÁSICA DEL MUNICIPIO DE: SAN JERONIMO SILACAYOAPILLA</t>
  </si>
  <si>
    <t>160 - SAN JERÓNIMO SILACAYOAPILLA</t>
  </si>
  <si>
    <t>0001 - San Jerónimo Silacayoapilla</t>
  </si>
  <si>
    <t>EQUIPAMIENTO DE ESCUELAS PÚBLICAS DE EDUCACIÓN BÁSICA DEL MUNICIPIO DE: SAN MIGUEL AMATITLAN</t>
  </si>
  <si>
    <t>0000 - COBERTURA MUNICIPAL SAN MIGUEL AMATITLÁN</t>
  </si>
  <si>
    <t>0003 - San Francisco Huapanapan</t>
  </si>
  <si>
    <t>EQUIPAMIENTO DE ESCUELAS PÚBLICAS DE EDUCACIÓN BÁSICA DEL MUNICIPIO DE: SANTA MARIA CAMOTLAN</t>
  </si>
  <si>
    <t>400 - SANTA MARÍA CAMOTLÁN</t>
  </si>
  <si>
    <t>0001 - Santa María Camotlán</t>
  </si>
  <si>
    <t>EQUIPAMIENTO DE ESCUELAS PÚBLICAS DE EDUCACIÓN BÁSICA DEL MUNICIPIO DE: SANTIAGO CACALOXTEPEC</t>
  </si>
  <si>
    <t>456 - SANTIAGO CACALOXTEPEC</t>
  </si>
  <si>
    <t>0001 - Santiago Cacaloxtepec</t>
  </si>
  <si>
    <t>EQUIPAMIENTO DE ESCUELAS PÚBLICAS DE EDUCACIÓN BÁSICA DEL MUNICIPIO DE: SANTO DOMINGO TONALA</t>
  </si>
  <si>
    <t>520 - SANTO DOMINGO TONALÁ</t>
  </si>
  <si>
    <t>0004 - San Juan Reyes</t>
  </si>
  <si>
    <t>EQUIPAMIENTO DE ESCUELAS PÚBLICAS DE EDUCACIÓN BÁSICA DEL MUNICIPIO DE: ZAPOTITLAN PALMAS</t>
  </si>
  <si>
    <t>568 - ZAPOTITLÁN PALMAS</t>
  </si>
  <si>
    <t>0001 - Zapotitlán Palmas</t>
  </si>
  <si>
    <t>0018 - San Pedro Yososcuá</t>
  </si>
  <si>
    <t>EQUIPAMIENTO DE ESCUELAS PÚBLICAS DE EDUCACIÓN BÁSICA DEL MUNICIPIO DE: SANTOS REYES TEPEJILLO</t>
  </si>
  <si>
    <t>528 - SANTOS REYES TEPEJILLO</t>
  </si>
  <si>
    <t>0001 - Santos Reyes Tepejillo</t>
  </si>
  <si>
    <t>EQUIPAMIENTO DE ESCUELAS PÚBLICAS DE EDUCACIÓN BÁSICA DEL MUNICIPIO DE: SANTIAGO HUAUCLILLA</t>
  </si>
  <si>
    <t>463 - SANTIAGO HUAUCLILLA</t>
  </si>
  <si>
    <t>0001 - Santiago Huauclilla</t>
  </si>
  <si>
    <t>EQUIPAMIENTO DE ESCUELAS PÚBLICAS DE EDUCACIÓN BÁSICA DEL MUNICIPIO DE: SAN JUAN BAUTISTA TLACHICHILCO</t>
  </si>
  <si>
    <t>183 - SAN JUAN BAUTISTA TLACHICHILCO</t>
  </si>
  <si>
    <t>0002 - Guadalupe la Libertad</t>
  </si>
  <si>
    <t>EQUIPAMIENTO DE ESCUELAS PÚBLICAS DE EDUCACIÓN BÁSICA DEL MUNICIPIO DE: SANTIAGO DEL RIO</t>
  </si>
  <si>
    <t>461 - SANTIAGO DEL RÍO</t>
  </si>
  <si>
    <t>0000 - COBERTURA MUNICIPAL SANTIAGO DEL RÍO</t>
  </si>
  <si>
    <t>EQUIPAMIENTO DE ESCUELAS PÚBLICAS DE EDUCACIÓN BÁSICA DEL MUNICIPIO DE: SILACAYOAPAM</t>
  </si>
  <si>
    <t>0000 - COBERTURA MUNICIPAL SILACAYOÁPAM</t>
  </si>
  <si>
    <t>EQUIPAMIENTO DE ESCUELAS PÚBLICAS DE EDUCACIÓN BÁSICA DEL MUNICIPIO DE: TEOTONGO</t>
  </si>
  <si>
    <t>547 - TEOTONGO</t>
  </si>
  <si>
    <t>0004 - El Progreso</t>
  </si>
  <si>
    <t>EQUIPAMIENTO DE ESCUELAS PÚBLICAS DE EDUCACIÓN BÁSICA DEL MUNICIPIO DE: VILLA DE TAMAZULAPAM DEL PROGRESO</t>
  </si>
  <si>
    <t>540 - VILLA DE TAMAZULÁPAM DEL PROGRESO</t>
  </si>
  <si>
    <t>0000 - COBERTURA MUNICIPAL VILLA DE TAMAZULÁPAM DEL PROGRESO</t>
  </si>
  <si>
    <t>0002 - Abasolo</t>
  </si>
  <si>
    <t>EQUIPAMIENTO DE ESCUELAS PÚBLICAS DE EDUCACIÓN BÁSICA DEL MUNICIPIO DE: SAN BARTOLOME YUCUAÑE</t>
  </si>
  <si>
    <t>119 - SAN BARTOLOMÉ YUCUAÑE</t>
  </si>
  <si>
    <t>0001 - San Bartolomé Yucuañe</t>
  </si>
  <si>
    <t>EQUIPAMIENTO DE ESCUELAS PÚBLICAS DE EDUCACIÓN BÁSICA DEL MUNICIPIO DE: SAN ESTEBAN ATATLAHUCA</t>
  </si>
  <si>
    <t>133 - SAN ESTEBAN ATATLAHUCA</t>
  </si>
  <si>
    <t>0003 - Independencia</t>
  </si>
  <si>
    <t>EQUIPAMIENTO DE ESCUELAS PÚBLICAS DE EDUCACIÓN BÁSICA DEL MUNICIPIO DE: SAN JUAN ÑUMI</t>
  </si>
  <si>
    <t>210 - SAN JUAN ÑUMÍ</t>
  </si>
  <si>
    <t>0012 - San Pedro Yosoñama</t>
  </si>
  <si>
    <t>EQUIPAMIENTO DE ESCUELAS PÚBLICAS DE EDUCACIÓN BÁSICA DEL MUNICIPIO DE: SAN PABLO TIJALTEPEC</t>
  </si>
  <si>
    <t>297 - SAN PABLO TIJALTEPEC</t>
  </si>
  <si>
    <t>0001 - San Pablo Tijaltepec</t>
  </si>
  <si>
    <t>EQUIPAMIENTO DE ESCUELAS PÚBLICAS DE EDUCACIÓN BÁSICA DEL MUNICIPIO DE: SAN PEDRO MOLINOS</t>
  </si>
  <si>
    <t>320 - SAN PEDRO MOLINOS</t>
  </si>
  <si>
    <t>0001 - San Pedro Molinos</t>
  </si>
  <si>
    <t>EQUIPAMIENTO DE ESCUELAS PÚBLICAS DE EDUCACIÓN BÁSICA DEL MUNICIPIO DE: SAN JUAN PETLAPA</t>
  </si>
  <si>
    <t>212 - SAN JUAN PETLAPA</t>
  </si>
  <si>
    <t>0000 - COBERTURA MUNICIPAL SAN JUAN PETLAPA</t>
  </si>
  <si>
    <t>EQUIPAMIENTO DE ESCUELAS PÚBLICAS DE EDUCACIÓN BÁSICA DEL MUNICIPIO DE: SANTIAGO CHOAPAM</t>
  </si>
  <si>
    <t>460 - SANTIAGO CHOÁPAM</t>
  </si>
  <si>
    <t>0006 - Santa María Yahuivé</t>
  </si>
  <si>
    <t>0000 - COBERTURA MUNICIPAL SANTIAGO JOCOTEPEC</t>
  </si>
  <si>
    <t>EQUIPAMIENTO DE ESCUELAS PÚBLICAS DE EDUCACIÓN BÁSICA DEL MUNICIPIO DE: SAN JUAN ATEPEC</t>
  </si>
  <si>
    <t>EQUIPAMIENTO DE ESCUELAS PÚBLICAS DE EDUCACIÓN BÁSICA DEL MUNICIPIO DE: SAN JUAN QUIOTEPEC</t>
  </si>
  <si>
    <t>214 - SAN JUAN QUIOTEPEC</t>
  </si>
  <si>
    <t>0002 - Maninaltepec</t>
  </si>
  <si>
    <t>EQUIPAMIENTO DE ESCUELAS PÚBLICAS DE EDUCACIÓN BÁSICA DEL MUNICIPIO DE: SANTIAGO XIACUI</t>
  </si>
  <si>
    <t>496 - SANTIAGO XIACUÍ</t>
  </si>
  <si>
    <t>0004 - Trinidad Ixtlán</t>
  </si>
  <si>
    <t>0013 - María Lombardo de Caso</t>
  </si>
  <si>
    <t>0025 - Margarita Huitepec</t>
  </si>
  <si>
    <t>EQUIPAMIENTO DE ESCUELAS PÚBLICAS DE EDUCACIÓN BÁSICA DEL MUNICIPIO DE: SAN PEDRO Y SAN PABLO AYUTLA</t>
  </si>
  <si>
    <t>337 - SAN PEDRO Y SAN PABLO AYUTLA</t>
  </si>
  <si>
    <t>0015 - Monte Rosa</t>
  </si>
  <si>
    <t>EQUIPAMIENTO DE ESCUELAS PÚBLICAS DE EDUCACIÓN BÁSICA DEL MUNICIPIO DE: SANTIAGO ATITLAN</t>
  </si>
  <si>
    <t>454 - SANTIAGO ATITLÁN</t>
  </si>
  <si>
    <t>0000 - COBERTURA MUNICIPAL SANTIAGO ATITLÁN</t>
  </si>
  <si>
    <t>EQUIPAMIENTO DE ESCUELAS PÚBLICAS DE EDUCACIÓN BÁSICA DEL MUNICIPIO DE: SANTIAGO ZACATEPEC</t>
  </si>
  <si>
    <t>502 - SANTIAGO ZACATEPEC</t>
  </si>
  <si>
    <t>0000 - COBERTURA MUNICIPAL SANTIAGO ZACATEPEC</t>
  </si>
  <si>
    <t>0003 - Río Ramal</t>
  </si>
  <si>
    <t>EQUIPAMIENTO DE ESCUELAS PÚBLICAS DE EDUCACIÓN BÁSICA DEL MUNICIPIO DE: TAMAZULAPAM DEL ESPIRITU SANTO</t>
  </si>
  <si>
    <t>031 - TAMAZULÁPAM DEL ESPÍRITU SANTO</t>
  </si>
  <si>
    <t>0000 - COBERTURA MUNICIPAL TAMAZULÁPAM DEL ESPÍRITU SANTO</t>
  </si>
  <si>
    <t>EQUIPAMIENTO DE ESCUELAS PÚBLICAS DE EDUCACIÓN BÁSICA DEL MUNICIPIO DE: TOTONTEPEC VILLA DE MORELOS</t>
  </si>
  <si>
    <t>554 - TOTONTEPEC VILLA DE MORELOS</t>
  </si>
  <si>
    <t>0009 - Santiago Amatepec</t>
  </si>
  <si>
    <t>0000 - COBERTURA MUNICIPAL MIAHUATLÁN DE PORFIRIO DÍAZ</t>
  </si>
  <si>
    <t>0001 - San Cristóbal Amatlán</t>
  </si>
  <si>
    <t>0003 - San Juan Guivini</t>
  </si>
  <si>
    <t>EQUIPAMIENTO DE ESCUELAS PÚBLICAS DE EDUCACIÓN BÁSICA DEL MUNICIPIO DE: SAN JUAN OZOLOTEPEC</t>
  </si>
  <si>
    <t>211 - SAN JUAN OZOLOTEPEC</t>
  </si>
  <si>
    <t>0003 - Santa Catarina Xanaguía</t>
  </si>
  <si>
    <t>EQUIPAMIENTO DE ESCUELAS PÚBLICAS DE EDUCACIÓN BÁSICA DEL MUNICIPIO DE: SAN MIGUEL COATLAN</t>
  </si>
  <si>
    <t>263 - SAN MIGUEL COATLÁN</t>
  </si>
  <si>
    <t>0001 - San Miguel Coatlán</t>
  </si>
  <si>
    <t>EQUIPAMIENTO DE ESCUELAS PÚBLICAS DE EDUCACIÓN BÁSICA DEL MUNICIPIO DE: SANTA MARIA OZOLOTEPEC</t>
  </si>
  <si>
    <t>424 - SANTA MARÍA OZOLOTEPEC</t>
  </si>
  <si>
    <t>0006 - San Pablo Ozolotepec</t>
  </si>
  <si>
    <t>0004 - Santa María Coixtepec</t>
  </si>
  <si>
    <t>EQUIPAMIENTO DE ESCUELAS PÚBLICAS DE EDUCACIÓN BÁSICA DEL MUNICIPIO DE: CONSTANCIA DEL ROSARIO</t>
  </si>
  <si>
    <t>0000 - COBERTURA MUNICIPAL CONSTANCIA DEL ROSARIO</t>
  </si>
  <si>
    <t>EQUIPAMIENTO DE ESCUELAS PÚBLICAS DE EDUCACIÓN BÁSICA DEL MUNICIPIO DE: MESONES HIDALGO</t>
  </si>
  <si>
    <t>037 - MESONES HIDALGO</t>
  </si>
  <si>
    <t>0015 - El Carmen Tuxtitlán</t>
  </si>
  <si>
    <t>EQUIPAMIENTO DE ESCUELAS PÚBLICAS DE EDUCACIÓN BÁSICA DEL MUNICIPIO DE: PUTLA VILLA DE GUERRERO</t>
  </si>
  <si>
    <t>073 - PUTLA VILLA DE GUERRERO</t>
  </si>
  <si>
    <t>0000 - COBERTURA MUNICIPAL PUTLA VILLA DE GUERRERO</t>
  </si>
  <si>
    <t>EQUIPAMIENTO DE ESCUELAS PÚBLICAS DE EDUCACIÓN BÁSICA DEL MUNICIPIO DE: SANTA CRUZ ITUNDUJIA</t>
  </si>
  <si>
    <t>0012 - La Victoria</t>
  </si>
  <si>
    <t>EQUIPAMIENTO DE ESCUELAS PÚBLICAS DE EDUCACIÓN BÁSICA DEL MUNICIPIO DE: SANTA MARIA IPALAPA</t>
  </si>
  <si>
    <t>415 - SANTA MARÍA IPALAPA</t>
  </si>
  <si>
    <t>0001 - Santa María Ipalapa</t>
  </si>
  <si>
    <t>0026 - Santa María Candelaria</t>
  </si>
  <si>
    <t>EQUIPAMIENTO DE ESCUELAS PÚBLICAS DE EDUCACIÓN BÁSICA DEL MUNICIPIO DE: SANTA MARIA ECATEPEC</t>
  </si>
  <si>
    <t>410 - SANTA MARÍA ECATEPEC</t>
  </si>
  <si>
    <t>0000 - COBERTURA MUNICIPAL SANTA MARÍA ECATEPEC</t>
  </si>
  <si>
    <t>MAQUINARIA Y EQUIPO DE TRANSPORTE PARA EL FORTALECIMIENTO DE LAS RUTAS DE ACOPIO DE LECHE A CENTROS CONCENTRADORES LICONSA DEL PROGRAMA DE AUTOSUFICIENCIA ALIMENTARIA</t>
  </si>
  <si>
    <t>PEC - DESARROLLO PECUARIO</t>
  </si>
  <si>
    <t>0001 - Loma Bonita</t>
  </si>
  <si>
    <t>COMPRA DE SEMILLA DE GRANOS BÁSICOS (MAÍZ) DEL PROGRAMA ABASTO SEGURO DE MAÍZ</t>
  </si>
  <si>
    <t>DÍA NACIONAL DEL MAÍZ</t>
  </si>
  <si>
    <t>EXPO FERIA EL CAMPO DE OAXACA</t>
  </si>
  <si>
    <t>FERIA NACIONAL DE LA AGROBIODIVERSIDAD</t>
  </si>
  <si>
    <t>0004 - Unión Zapata (Loma Larga)</t>
  </si>
  <si>
    <t>ENCUENTRO ESTATAL DE TÉCNICOS</t>
  </si>
  <si>
    <t>0048 - Camino a Xoxocotlán Estacionamiento Tequio</t>
  </si>
  <si>
    <t>PAQUETE DE HUERTOS URBANOS DEL PROGRAMA AUTOSUFICIENCIA ALIMENTARIA</t>
  </si>
  <si>
    <t>ESTABLECIMIENTO DE HUERTOS ESCOLARES DEL PROGRAMA AUTOSUFICIENCIA ALIMENTARIA</t>
  </si>
  <si>
    <t>ELABORACIÓN DEL ESTUDIO Y PROYECTO PARA LA CONSTRUCCIÓN DEL PUENTE VEHICULAR JICOTLAN, SOBRE CARRETERA TAMAZULAPAN DEL PROGRESO – TEPELMEME VILLA DE MORELOS EN EL MUNICIPIO DE SANTA MAGDALENA JICOTLÁN</t>
  </si>
  <si>
    <t>ELABORACIÓN DEL ESTUDIO Y PROYECTO PARA LA CONSTRUCCIÓN DEL PUENTE VEHICULAR RÍO COPALA, SOBRE E.C. (YUCUDAA - SANTIAGO PINOTEPA NACIONAL) SAN JUAN LAGUNAS - PUTLA VILLA DE GUERRERO EN EL MUNICIPIO DE PUTLA VILLA DE GUERRERO</t>
  </si>
  <si>
    <t>0051 - San Juan Lagunas</t>
  </si>
  <si>
    <t>ELABORACIÓN DEL ESTUDIO Y PROYECTO PARA LA CONSTRUCCIÓN DEL PUENTE VEHICULAR YANERI, SOBRE EL CAMINO SIN NOMBRE SAN PEDRO YANERI - SAN JUAN TEPANZACOALCO, EN EL MUNICIPIO DE SAN PEDRO YANERI</t>
  </si>
  <si>
    <t>335 - SAN PEDRO YANERI</t>
  </si>
  <si>
    <t>0002 - San Juan Tepanzacoalco</t>
  </si>
  <si>
    <t>ELABORACIÓN DEL ESTUDIO Y PROYECTO PARA LA CONSTRUCCIÓN DEL PUENTE VEHICULAR NATIVITAS, SOBRE EL CAMINO SIN NOMBRE SANTA MARÍA NATIVITAS - SAN JUAN BAUTISTA COIXTLAHUACA, UBICADO EN EL KM 0+340 EN EL MUNICIPIO DE SANTA MARÍA NATIVITAS</t>
  </si>
  <si>
    <t>0001 - Santa María Nativitas</t>
  </si>
  <si>
    <t>ELABORACIÓN DEL ESTUDIO Y PROYECTO PARA LA CONSTRUCCIÓN DEL PUENTE VEHICULAR TAPEXTLA, SOBRE E.C. (CUAJINICUILAPA - PUNTA MALDONADO) SANTIAGO TAPEXTLA EN EL MUNICIPIO DE SANTIAGO TAPEXTLA</t>
  </si>
  <si>
    <t>ELABORACIÓN DEL ESTUDIO Y PROYECTO PARA LA CONSTRUCCIÓN DEL CAMINO ARROYO BLANCO - SAN FELIPE EL MIRADOR, EN EL MUNICIPIO DE SAN JUAN PETLAPA</t>
  </si>
  <si>
    <t>0002 - Arroyo Blanco</t>
  </si>
  <si>
    <t>CONSTRUCCIÓN DE LA CARRETERA SIN NOMBRE CON CONCRETO HIDRÁULICO DEL E.C. (YUCUDAA – SANTIAGO PINOTEPA NACIONAL) – TOTONUNDOO, TRAMO DEL KM 0+000 AL KM 2+000, SUBTRAMO DEL KM 0+000 AL KM 1+253, EN EL MUNICIPIO DE SAN MARTÍN HUAMELÚLPAM</t>
  </si>
  <si>
    <t>239 - SAN MARTÍN HUAMELÚLPAM</t>
  </si>
  <si>
    <t>0007 - Totonundoo</t>
  </si>
  <si>
    <t>110 - SECRETARÍA DE LAS CULTURAS Y ARTES</t>
  </si>
  <si>
    <t xml:space="preserve">110001 - OFICINA DEL SECRETARIO DE LAS CULTURAS Y ARTES </t>
  </si>
  <si>
    <t>REPRESENTACIÓN DE LA ANTIGÜEDAD A TRAVÉS DEL "BANI STUI GULAL” MÚSICA Y DANZA 2025</t>
  </si>
  <si>
    <t>ESCULTURAS MONUMENTALES “GUENDA NE NUNA” EL SENDERO DE LOS NAHUALES 2025</t>
  </si>
  <si>
    <t>EXPRESIONES ARTÍSTICAS Y CULTURALES. GUELAGUETZA 2025</t>
  </si>
  <si>
    <t>ESTRATEGIA ANUAL DE INVERSIÓN COMUNITARIA (EAIC)</t>
  </si>
  <si>
    <t>PROGRAMA ANUAL DE CAPACITACIONES (PAC)</t>
  </si>
  <si>
    <t>EQUIPAMIENTO DEL CENTRO DE REHABILITACIÓN INTEGRAL DIF</t>
  </si>
  <si>
    <t>0044 - Colonia Jerusalén</t>
  </si>
  <si>
    <t>SUMINISTRO DE INSUMOS A CLUBES DE DÍA DE PERSONAS MAYORES</t>
  </si>
  <si>
    <t>EXPO FERIA ALTERNA ARTESANAL DE ATZOMPA EN EL MARCO DE LA GUELAGUETZA 2025</t>
  </si>
  <si>
    <t>0001 - Santa María Atzompa</t>
  </si>
  <si>
    <t>EXPO VENTA DE ALEBRIJES GUELAGUETZA 2025 EN SANTA MARTÍN TILCAJETE EN EL MARCO DE LA GUELAGUETZA 2025</t>
  </si>
  <si>
    <t>243 - SAN MARTÍN TILCAJETE</t>
  </si>
  <si>
    <t>0001 - San Martín Tilcajete</t>
  </si>
  <si>
    <t>EXPO FERIA ARTESANAL DE ALEBRIJES 2025, ARRAZOLA EN EL MARCO DE LA GUELAGUETZA 2025</t>
  </si>
  <si>
    <t>FERIA DEL TEJATE Y EL TAMAL EN OAXACA DE JUÁREZ EN EL MARCO DE LA GUELAGUETZA 2025</t>
  </si>
  <si>
    <t>EXPO FERIA DE HONGOS SILVESTRES Y PRODUCTOS NO MADERABLES EN SAN ANTONIO CUAJIMOLOYAS EN EL MARCO DE LA GUELAGUETZA 2025</t>
  </si>
  <si>
    <t>262 - SAN MIGUEL AMATLÁN</t>
  </si>
  <si>
    <t>0002 - Cuajimoloyas</t>
  </si>
  <si>
    <t>LA GRAN FIESTA DEL MEZCAL SANTIAGO MATATLÁN, RUTA CAMINOS DEL MEZCAL EN EL MARCO DE LA GUELAGUETZA 2025</t>
  </si>
  <si>
    <t>FESTIVAL DEL MOLE EN OAXACA DE JUÁREZ EN EL MARCO DE LA GUELAGUETZA 2025</t>
  </si>
  <si>
    <t>FERIA PUEBLOS MÁGICOS Y EL BARRIO MÁGICO DE JALATLACO “LA MAGIA ANCESTRAL DE MÉXICO” EN OAXACA DE JUÁREZ Y EXPO CAFÉ RAÍCES DE AROMA Y SABOR, RUTA DEL CAFÉ PLUMA EN EL MARCO DE LA GUELAGUETZA 2025</t>
  </si>
  <si>
    <t>SUMINISTRO DE ALIMENTOS PARA POBLACIÓN MIGRANTE EN EL ALBERGUE “CASA PATO” DEL SISTEMA ESTATAL DIF OAXACA</t>
  </si>
  <si>
    <t>342 - SAN RAYMUNDO JALPAN</t>
  </si>
  <si>
    <t>0010 - Cámara de Diputados</t>
  </si>
  <si>
    <t>SUMINISTRO DE ALIMENTOS PARA POBLACIÓN MIGRANTE EN EL ALBERGUE DEL MUNICIPIO DE SAN PEDRO TAPANATEPEC</t>
  </si>
  <si>
    <t>0001 - San Pedro Tapanatepec</t>
  </si>
  <si>
    <t>FORTALECIMIENTO A LAS MANIFESTACIONES ARTÍSTICAS Y CULTURALES DEL ESTADO DE OAXACA 2025</t>
  </si>
  <si>
    <t>98 - COBERTURA REGIONAL VALLES CENTRALES</t>
  </si>
  <si>
    <t>998 - COBERTURA REGIONAL VALLES CENTRALES</t>
  </si>
  <si>
    <t>9999 - COBERTURA REGIONAL VALLES CENTRALES</t>
  </si>
  <si>
    <t>602 - FIDEICOMISO DE FOMENTO PARA EL ESTADO DE OAXACA</t>
  </si>
  <si>
    <t>602001 - FIDEICOMISO DE FOMENTO PARA EL ESTADO DE OAXACA</t>
  </si>
  <si>
    <t>PROGRAMA DE CRÉDITOS INCLUYENTES</t>
  </si>
  <si>
    <t>EXPO FERIA DEL COMAL PARA EL MUNDO: LA TLAYUDA</t>
  </si>
  <si>
    <t>109 - SECRETARÍA DE MOVILIDAD</t>
  </si>
  <si>
    <t>109001 - SUBSECRETARÍA DE PLANEACIÓN Y POLÍTICAS DE MOVILIDAD</t>
  </si>
  <si>
    <t>DESARROLLO E IMPLEMENTACIÓN DE UN SISTEMA INFORMÁTICO PARA EL CONTROL Y ADMINISTRACIÓN DE CONCESIONES EN EL ESTADO DE OAXACA</t>
  </si>
  <si>
    <t>FORTALECIMIENTO PARA LA ATENCIÓN DE NIÑAS, NIÑOS Y ADOLESCENTES MIGRANTES EN SAN PEDRO TAPANATEPEC</t>
  </si>
  <si>
    <t>ESTRATEGIA DE MEDICIÓN ANTROPOMÉTRICA INFANTIL EN EL ESTADO DE OAXACA</t>
  </si>
  <si>
    <t>CONSTRUCCIÓN DE LA CARRETERA SIN NOMBRE CON CONCRETO HIDRÁULICO DEL E.C. (ASUNCIÓN CACALOTEPEC – SAN ISIDRO HUAYÁPAM) – CERRO MONEDA, TRAMO DEL KM 0+000 AL KM 3+500, SUBTRAMO DEL KM 0+000 AL KM 0+700, EN EL MUNICIPIO DE ASUNCIÓN CACALOTEPEC</t>
  </si>
  <si>
    <t>003 - ASUNCIÓN CACALOTEPEC</t>
  </si>
  <si>
    <t>0002 - Cerro Moneda</t>
  </si>
  <si>
    <t>REHABILITACIÓN DEL SISTEMA DE AGUA POTABLE EN LA LOCALIDAD SAN FRANCISCO CHINDÚA, MUNICIPIO SAN FRANCISCO CHINDÚA</t>
  </si>
  <si>
    <t>140 - SAN FRANCISCO CHINDÚA</t>
  </si>
  <si>
    <t>0001 - San Francisco Chindúa</t>
  </si>
  <si>
    <t>PRESENTACIONES ARTÍSTICAS EN EL ZÓCALO DE LA CIUDAD DE OAXACA, GUELAGUETZA 2025.</t>
  </si>
  <si>
    <t>REHABILITACIÓN DE PAVIMENTO CON CONCRETO HIDRÁULICO EN LAS CALLES GUADALUPE VICTORIA, BARTOLOME DE LAS CASAS E IXTALTEPEC EN LA LOCALIDAD DE SANTO DOMINGO TEHUANTEPEC, MUNICIPIO DE SANTO DOMINGO TEHUANTEPEC.</t>
  </si>
  <si>
    <t>CONSTRUCCIÓN DE CANCHA DEPORTIVA EN IEBO NUM. 265 CON CLAVE ESCOLAR: 20ETH0273F, EN LA LOCALIDAD SAN JOSÉ YOSOCAÑÚ (YOSOCANÚ), MUNICIPIO CONSTANCIA DEL ROSARIO</t>
  </si>
  <si>
    <t>0005 - San José Yosocañú (Yosocanú)</t>
  </si>
  <si>
    <t>UN CANTO PARA OAXACA, EN JULIO MES DE LA GUELAGUETZA 2025</t>
  </si>
  <si>
    <t>CONSTRUCCIÓN DE PAVIMENTO CON CONCRETO HIDRÁULICO EN LA CALLE TRUJANO, EN LA LOCALIDAD DE SAN JUAN TEPEUXILA, MUNICIPIO DE SAN JUAN TEPEUXILA</t>
  </si>
  <si>
    <t>220 - SAN JUAN TEPEUXILA</t>
  </si>
  <si>
    <t>0001 - San Juan Tepeuxila</t>
  </si>
  <si>
    <t>REHABILITACION DE LA RED DE DRENAJE SANITARIO EN LAS CALLES DE GUILLERMO PRIETO, INDEPENDENCIA, IGNACIO ALLENDE, LOCALIDAD SANTA LUCIA DEL CAMINO, MUNICIPIO DE SANTA LUCIA DEL CAMINO</t>
  </si>
  <si>
    <t>CAMPAÑA DE PROMOCIÓN DE LOS DERECHOS POLÍTICOS DE LAS MUJERES EN MUNICIPIOS DE SISTEMAS NORMATIVOS INDÍGENAS. TEJIENDO PARIDAD</t>
  </si>
  <si>
    <t>REHABILITACIÓN DE LA RED DE DRENAJE SANITARIO (RED DE ATARJEAS), EN LA CALLE PINOS, LOCALIDAD SAN ANTONIO DE LA CAL, MUNICIPIO SAN ANTONIO DE LA CAL</t>
  </si>
  <si>
    <t>CONSTRUCCIÓN DE TECHADO DE CANCHA DE USOS MÚLTIPLES (GUADALUPE VICTORIA, SECTOR 1) EN LA LOCALIDAD DE OAXACA DE JUÁREZ, MUNICIPIO DE OAXACA DE JUÁREZ</t>
  </si>
  <si>
    <t>CONSTRUCCIÓN DE TECHADO DE CANCHA DE USOS MÚLTIPLES (SAN MARTIN MEXICAPAN, COL. LA AZUCENA) EN LA LOCALIDAD DE OAXACA DE JUÁREZ, MUNICIPIO DE OAXACA DE JUÁREZ</t>
  </si>
  <si>
    <t>EMPODERAMIENTO DE MUJERES DE LOS PUEBLOS Y COMUNIDADES INDÍGENAS TRIQUIS PARA LA CONSERVACIÓN DE LA ARTESANÍA TEXTIL. MUJERES TEJEDORAS</t>
  </si>
  <si>
    <t>MEJORAMIENTO VISUAL DE LA INFRAESTRUCTURA COMUNITARIA INDÍGENA Y AFROMEXICANA. FONDO COMUNITARIO</t>
  </si>
  <si>
    <t>PROMOCIÓN Y PRESERVACIÓN DE LA IDENTIDAD MUSICAL DE LOS PUEBLOS Y COMUNIDADES INDÍGENAS Y AFROMEXICANAS. EXPRESIONES DE MI COMUNIDAD</t>
  </si>
  <si>
    <t>131 - SECRETARÍA DE MEDIO AMBIENTE, BIODIVERSIDAD, ENERGÍAS Y SOSTENIBILIDAD</t>
  </si>
  <si>
    <t>131001 - OFICINA DEL SECRETARIO DEL MEDIO AMBIENTE, BIODIVERSIDAD, ENERGÍAS Y SOSTENIBILIDAD</t>
  </si>
  <si>
    <t>FORTALECIMIENTO DE CAPACIDADES EN MATERIA DE RESIDUOS SÓLIDOS CON VEHÍCULOS RECOLECTORES A MUNICIPIOS LIMPIOS.</t>
  </si>
  <si>
    <t>AMB - PROTECCION Y PRESERVACION AMBIENTAL</t>
  </si>
  <si>
    <t>CAMPAÑA DE PROMOCIÓN EN LOS MÓDULOS DE INFORMACIÓN TURÍSTICA</t>
  </si>
  <si>
    <t>ELABORACIÓN DE ESTUDIO Y PROYECTO PARA LA CONSTRUCCIÓN DE PAVIMENTO CON CONCRETO HIDRÁULICO DEL CAMINO E.C.(OAXACA - MESONES HIDALGO) - SANTA MARÍA DE LA LIMA, TRAMO DEL KM 0+000 AL KM 1+000, EN EL MUNICIPIO DE MESONES HIDALGO</t>
  </si>
  <si>
    <t>0009 - Santa María de la Lima</t>
  </si>
  <si>
    <t>ELABORACIÓN DE ESTUDIO Y PROYECTO PARA LA CONSTRUCCIÓN DE PAVIMENTO CON CONCRETO HIDRÁULICO DEL CAMINO SAN LORENZO - SANTA MARÍA YOSOCANI, TRAMO DEL KM 0+000 AL KM 2+000, EN EL MUNICIPIO DE SAN LORENZO</t>
  </si>
  <si>
    <t>225 - SAN LORENZO</t>
  </si>
  <si>
    <t>0008 - Santa María Yosocani</t>
  </si>
  <si>
    <t>ELABORACIÓN DE ESTUDIO Y PROYECTO PARA LA CONSTRUCCIÓN DE PAVIMENTO CON CONCRETO HIDRÁULICO DEL CAMINO E.C. (RÍO GRANDE O PIEDRA PARADA - SAN MARCOS ZACATEPEC) - SANTIAGO JOCOTEPEC, TRAMO DEL KM 0+000 AL KM 1+000, EN EL MUNICIPIO DE VILLA DE TUTUTEPEC</t>
  </si>
  <si>
    <t>334 - VILLA DE TUTUTEPEC</t>
  </si>
  <si>
    <t>0022 - Santiago Jocotepec</t>
  </si>
  <si>
    <t>ELABORACIÓN DE ESTUDIO Y PROYECTO PARA LA CONSTRUCCIÓN DE PAVIMENTO CON CONCRETO HIDRÁULICO DEL CAMINO DE LAS JUNTAS - SAN PEDRO EL ALTO, TRAMO DEL KM 1+000 AL KM 2+000, EN EL MUNICIPIO DE ZIMATLÁN DE ÁLVAREZ</t>
  </si>
  <si>
    <t>570 - ZIMATLÁN DE ÁLVAREZ</t>
  </si>
  <si>
    <t>0004 - San Pedro el Alto</t>
  </si>
  <si>
    <t>ELABORACIÓN DE ESTUDIO Y PROYECTO PARA LA CONSTRUCCIÓN DE PAVIMENTO CON CONCRETO HIDRÁULICO DEL CAMINO SAN JUAN BAUTISTA VALLE NACIONAL - SAN FELIPE DE LEÓN, TRAMO DEL KM 2+000 AL KM 3+000, EN EL MUNICIPIO DE SAN JUAN BAUTISTA VALLE NACIONAL</t>
  </si>
  <si>
    <t>0029 - San Felipe de León</t>
  </si>
  <si>
    <t>ELABORACIÓN DE ESTUDIO Y PROYECTO PARA LA CONSTRUCCIÓN DE PAVIMENTO CON CONCRETO HIDRÁULICO DEL CAMINO DE TEMBLADERA DEL CASTILLO-LA TABAQUERA TRAMO DEL KM 13+000 AL KM 15+000, EN EL MUNICIPIO DE ACATLAN DE PEREZ FIGUEROA</t>
  </si>
  <si>
    <t>0032 - La Tabaquera</t>
  </si>
  <si>
    <t>ELABORACIÓN DE ESTUDIO Y PROYECTO PARA LA CONSTRUCCIÓN DE PAVIMENTO CON CONCRETO HIDRÁULICO DEL CAMINO DE SAN JUAN BAUTISTA TUXTEPEC - LAS MARGARITAS, TRAMO DEL KM 0+000 AL KM 2+000, EN EL MUNICIPIO DE SAN MIGUEL SOYALTEPEC</t>
  </si>
  <si>
    <t>0020 - Las Margaritas</t>
  </si>
  <si>
    <t>ELABORACIÓN DE ESTUDIO Y PROYECTO PARA LA CONSTRUCCIÓN DE PAVIMENTO CON CONCRETO HIDRÁULICO DEL CAMINO E.C.(SAN PEDRO IXCATLÁN - EL CRUCERO) - BENITO JUÁREZ II, TRAMO DEL KM 0+000 AL KM 2+000, EN EL MUNICIPIO DE SAN MIGUEL SOYALTEPEC</t>
  </si>
  <si>
    <t>0038 - Benito Juárez II</t>
  </si>
  <si>
    <t>ELABORACIÓN DE ESTUDIO Y PROYECTO PARA LA CONSTRUCCIÓN DE PAVIMENTO CON CONCRETO HIDRÁULICO DEL CAMINO SAN DIONISIO OCOTLÁN - GUELAVICHIGANA LA LABOR - PRAXEDIS DE GUERRERO, TRAMO DEL KM 2+560 AL KM 3+560, EN LOS MUNICIPIOS OCOTLAN DE MORELOS, SANTA LUCIA OCOTLAN, SAN DIONISIO OCOTLÁN</t>
  </si>
  <si>
    <t>132 - SAN DIONISIO OCOTLÁN</t>
  </si>
  <si>
    <t>0002 - Guelavichigana la Labor</t>
  </si>
  <si>
    <t>ELABORACIÓN DE ESTUDIO Y PROYECTO PARA LA CONSTRUCCIÓN DE PAVIMENTO CON CONCRETO HIDRÁULICO DEL CAMINO DE SAN PEDRO APOSTOL - SAN FELIPE APOSTOL - TEXAS DE MORELOS, TRAMO DEL KM 2+000 AL KM 3+000, EN EL MUNICIPIO OCOTLAN DE MORELOS</t>
  </si>
  <si>
    <t>0012 - Tejas de Morelos</t>
  </si>
  <si>
    <t>ELABORACIÓN DE ESTUDIO Y PROYECTO PARA LA CONSTRUCCIÓN DE PAVIMENTO CON CONCRETO HIDRÁULICO DEL CAMINO DEL MUNICIPIO DE SANTO DOMINGO PETAPA - LA MACETA, TRAMO DEL KM 0+000 AL KM 2+000, EN EL MUNICIPIO DE SANTO DOMINGO PETAPA</t>
  </si>
  <si>
    <t>513 - SANTO DOMINGO PETAPA</t>
  </si>
  <si>
    <t>0005 - La Maceta</t>
  </si>
  <si>
    <t>ELABORACIÓN DE ESTUDIO Y PROYECTO PARA LA CONSTRUCCIÓN DE PAVIMENTO CON CONCRETO HIDRÁULICO DEL CAMINO DE SANTIAGO JUXTLAHUACA - BENITO JUÁREZ YUCUNICOCO - BUENA VISTA YUCUNICOCO - SANTA MARÍA YUCUNICOCO, TRAMO DEL KM. 5+000 AL KM 10+000, EN EL MUNICIPIO DE SANTIAGO JUXTLAHUACA</t>
  </si>
  <si>
    <t>0036 - Santa María Yucunicoco</t>
  </si>
  <si>
    <t>ELABORACIÓN DE ESTUDIO Y PROYECTO PARA LA CONSTRUCCIÓN DE PAVIMENTO CON CONCRETO HIDRÁULICO DEL CAMINO DE SANTIAGO LACHIGUIRI - LOMA ESPERANZA - SANTO DOMINGO LA REFORMA - SANTA MARÍA NATIVITAS COATLÁN, TRAMO DEL KM 0+000 AL KM 2+000, EN EL MUNICIPIO SANTO DOMINGO TEHUANTEPEC</t>
  </si>
  <si>
    <t>0114 - Santa María Nativitas Coatlán</t>
  </si>
  <si>
    <t>CONSTRUCCIÓN DE TECHADO DE CANCHA DE USOS MÚLTIPLES (DONAJÍ, MANUEL ÁVILA CAMACHO) EN LA LOCALIDAD DE OAXACA DE JUÁREZ, MUNICIPIO DE OAXACA DE JUÁREZ</t>
  </si>
  <si>
    <t>CONSTRUCCION DE ALUMBRADO PÚBLICO SUSTENTABLE EN VARIAS CALLES DE LA LOCALIDAD DE VILLA SOLA DE VEGA, MUNICIPIO DE VILLA SOLA DE VEGA (SEGUNDA ETAPA)</t>
  </si>
  <si>
    <t>AMPLIACION DE LA RED DE DISTRIBUCIÓN DE ENERGIA ELECTRICA EN VARIAS CALLES (SEGUNDA ETAPA), EN LA LOCALIDAD DE RANCHO BLANCO, MUNICIPIO DE SANTIAGO MATATLAN</t>
  </si>
  <si>
    <t>0003 - Rancho Blanco</t>
  </si>
  <si>
    <t>CONSTRUCCIÓN DE LA CARRETERA SIN NOMBRE CON CONCRETO HIDRÁULICO DE PIEDRA GRANDE – LA SOLEDAD COFRADÍA, TRAMO DEL KM 0+000 AL KM 5+000, SUBTRAMO DEL KM 0+400 AL KM 1+140, EN EL MUNICIPIO DE SANTA CRUZ ZENZONTEPEC</t>
  </si>
  <si>
    <t>0013 - Piedra Grande</t>
  </si>
  <si>
    <t>PROGRAMA PARA LA ATENCIÓN AL CUMPLIMIENTO DE LAS MEDIDAS DE LA DECLARATORIA DE ALERTA DE VIOLENCIA DE GÉNERO CONTRA LAS MUJERES (DAVGM).</t>
  </si>
  <si>
    <t>REHABILITACIÓN DE SISTEMA DE AGUA POTABLE, EN LA CALLE PINOS, LOCALIDAD SAN ANTONIO DE LA CAL, MUNICIPIO DE SAN ANTONIO DE LA CAL</t>
  </si>
  <si>
    <t>AMPLIACIÓN DE LA RED DE DISTRIBUCIÓN DE ENERGÍA ELÉCTRICA EN LA LOCALIDAD DE GUADALUPE LA CIÉNEGA, MUNICIPIO DE CUYAMECALCO VILLA DE ZARAGOZA</t>
  </si>
  <si>
    <t>AMPLIACIÓN DE LA RED DE DISTRIBUCIÓN DE ENERGÍA ELÉCTRICA EN LA LOCALIDAD DE TIERRA AHUMADA, MUNICIPIO DE CUYAMECALCO VILLA DE ZARAGOZA</t>
  </si>
  <si>
    <t>0027 - Tierra Ahumada</t>
  </si>
  <si>
    <t>REHABILITACION DE POZO PROFUNDO DE AGUA POTABLE "CORTV", LOCALIDAD DE SAN JACINTO AMILPAS, MUNICIPIO DE SAN JACINTO AMILPAS</t>
  </si>
  <si>
    <t>REHABILITACION DE LA RED DE DRENAJE SANITARIO EN LAS CALLES DE PRIVADA DE CAMINO NACIONAL - PRIMERA DE CAMINO NACIONAL, LOCALIDAD DE OAXACA DE JUAREZ, MUNICIPIO OAXACA DE JUAREZ</t>
  </si>
  <si>
    <t>FORTALECIMIENTO PARA LA ATENCIÓN DE NIÑAS, NIÑOS Y ADOLESCENTES MIGRANTES EN SAN RAYMUNDO JALPAN</t>
  </si>
  <si>
    <t>SUMINISTRO DE INSUMOS PARA EL LABORATORIO DE ÓRTESIS DEL CENTRO DE REHABILITACIÓN INTEGRAL DIF</t>
  </si>
  <si>
    <t>561 - ORGANISMO OPERADOR ENCARGADO DE LA GESTIÓN Y MANEJO INTEGRAL DE LOS RESIDUOS SÓLIDOS URBANOS Y DE MANEJO ESPECIAL DEL ESTADO DE OAXACA</t>
  </si>
  <si>
    <t>561001 - ORGANISMO OPERADOR ENCARGADO DE LA GESTIÓN Y MANEJO INTEGRAL DE LOS RESIDUOS SÓLIDOS URBANOS Y DE MANEJO ESPECIAL DEL ESTADO DE OAXACA</t>
  </si>
  <si>
    <t>TRASLADO DE RESIDUOS SÓLIDOS URBANOS DEL POLIGONO DEL MUNICIPIO DE SANTA CRUZ XOXOCOTLÁN A LA CELDA DE EMERGENCIA UBICADA EN EL MUNICIPIO DE SAN PEDRO TOTOLÁPAM.</t>
  </si>
  <si>
    <t>CONSTRUCCIÓN DE SANITARIO CON BIODIGESTOR PARA EL MEJORAMIENTO DE LA VIVIENDA, EN LA LOCALIDAD ASUNCIÓN CUYOTEPEJI, MUNICIPIO ASUNCIÓN CUYOTEPEJI.</t>
  </si>
  <si>
    <t>004 - ASUNCIÓN CUYOTEPEJI</t>
  </si>
  <si>
    <t>0001 - Asunción Cuyotepeji</t>
  </si>
  <si>
    <t>CONSTRUCCIÓN DE CUARTO DORMITORIO PARA EL MEJORAMIENTO DE LA VIVIENDA, EN LA LOCALIDAD SAN PABLO OZOLOTEPEC, MUNICIPIO SANTA MARÍA OZOLOTEPEC.</t>
  </si>
  <si>
    <t>CONSTRUCCIÓN DE SANITARIOS EN ESCUELA PRIMARIA "ALFONSO CASO" CON CLAVE ESCOLAR: 20DPB0026R, EN LA LOCALIDAD BARRANCA RICA, MUNICIPIO SANTIAGO AMOLTEPEC</t>
  </si>
  <si>
    <t>0018 - Barranca Rica</t>
  </si>
  <si>
    <t>CONSTRUCCIÓN DE CUARTO DORMITORIO PARA EL MEJORAMIENTO DE LA VIVIENDA, EN LA LOCALIDAD SANTA CRUZ OZOLOTEPEC, MUNICIPIO SANTA MARÍA OZOLOTEPEC.</t>
  </si>
  <si>
    <t>0007 - Santa Cruz Ozolotepec</t>
  </si>
  <si>
    <t>CONSTRUCCIÓN DE TECHADO EN ESPACIO MULTIDEPORTIVO Y BIENES PÚBLICOS EN LA LOCALIDAD DE SANTIAGO MILTEPEC, MUNICIPIO DE SANTIAGO MILTEPEC</t>
  </si>
  <si>
    <t>476 - SANTIAGO MILTEPEC</t>
  </si>
  <si>
    <t>0001 - Santiago Miltepec</t>
  </si>
  <si>
    <t>REHABILITACIÓN DEL SISTEMA DE AGUA POTABLE 1RA. ETAPA EN LA LOCALIDAD SAN PEDRO QUIATONI, MUNICIPIO SAN PEDRO QUIATONI</t>
  </si>
  <si>
    <t>325 - SAN PEDRO QUIATONI</t>
  </si>
  <si>
    <t>0001 - San Pedro Quiatoni</t>
  </si>
  <si>
    <t>CONSTRUCCIÓN DE AULA EN ESCUELA PRIMARIA "CUAUHTÉMOC" CON CLAVE ESCOLAR: 20DPB0224R, EN LA LOCALIDAD ARROYO TOMATE, MUNICIPIO SAN JUAN LALANA</t>
  </si>
  <si>
    <t>205 - SAN JUAN LALANA</t>
  </si>
  <si>
    <t>0047 - Arroyo Tomate</t>
  </si>
  <si>
    <t>REHABILITACIÓN DEL SISTEMA DE AGUA POTABLE EN LA LOCALIDAD SAN JUAN TEITIPAC, MUNICIPIO SAN JUAN TEITIPAC</t>
  </si>
  <si>
    <t>AMPLIACIÓN DE LA RED DE DISTRIBUCIÓN DE ENERGÍA ELÉCTRICA EN VARIAS CALLES DE LA LOCALIDAD DE SANTA MARÍA YOLOTEPEC, MUNICIPIO DE SANTA MARÍA YOLOTEPEC</t>
  </si>
  <si>
    <t>444 - SANTA MARÍA YOLOTEPEC</t>
  </si>
  <si>
    <t>0001 - Santa María Yolotepec</t>
  </si>
  <si>
    <t>REHABILITACIÓN DEL SISTEMA DE DRENAJE SANITARIO 1RA. ETAPA EN LA LOCALIDAD SANTA MARÍA DEL TULE, MUNICIPIO SANTA MARÍA DEL TULE</t>
  </si>
  <si>
    <t>CONSTRUCCIÓN DE BARDA PERIMETRAL EN ESCUELA PRIMARIA "BENITO JUÁREZ" CON CLAVE ESCOLAR: 20DPB0996D, EN LA LOCALIDAD LLANO GRANDE, MUNICIPIO SAN MIGUEL COATLÁN</t>
  </si>
  <si>
    <t>0004 - Llano Grande</t>
  </si>
  <si>
    <t>REHABILITACIÓN DEL SISTEMA DE AGUA POTABLE EN LA LOCALIDAD SAN PEDRO TAVICHE, MUNICIPIO SAN PEDRO TAVICHE</t>
  </si>
  <si>
    <t>328 - SAN PEDRO TAVICHE</t>
  </si>
  <si>
    <t>0001 - San Pedro Taviche</t>
  </si>
  <si>
    <t>CONSTRUCCION DE TECHADO EN ESPACIO MULTIDEPORTIVO Y BIENES PUBLICOS EN LA LOCALIDAD DE TANICHE, MUNICIPIO DE TANICHE</t>
  </si>
  <si>
    <t>542 - TANICHE</t>
  </si>
  <si>
    <t>0001 - Taniche</t>
  </si>
  <si>
    <t>CONSTRUCCIÓN DE AULA EN JARDÍN DE NIÑOS INDÍGENA "VICENTE GUERRERO" CON CLAVE ESCOLAR: 20DCC0482A, EN LA LOCALIDAD LA SOLEDAD, MUNICIPIO SANTIAGO AMOLTEPEC</t>
  </si>
  <si>
    <t>0009 - La Soledad</t>
  </si>
  <si>
    <t>REHABILITACIÓN DEL SISTEMA DE AGUA POTABLE EN LA LOCALIDAD SANTA MARÍA JALTIANGUIS, MUNICIPIO SANTA MARÍA JALTIANGUIS</t>
  </si>
  <si>
    <t>419 - SANTA MARÍA JALTIANGUIS</t>
  </si>
  <si>
    <t>0001 - Santa María Jaltianguis</t>
  </si>
  <si>
    <t>CONSTRUCCIÓN DE CANCHA DEPORTIVA EN ESCUELA PRIMARIA "GRACIANO SÁNCHEZ" CON CLAVE ESCOLAR: 20DPB1098R, EN LA LOCALIDAD LA UNIÓN, MUNICIPIO SAN ANTONIO SINICAHUA</t>
  </si>
  <si>
    <t>0005 - La Unión</t>
  </si>
  <si>
    <t>CONSTRUCCIÓN DE TECHADO DE CANCHA DE USOS MÚLTIPLES (PUEBLO NUEVO, LA JOYA) EN LA LOCALIDAD DE OAXACA DE JUÁREZ, MUNICIPIO DE OAXACA DE JUÁREZ</t>
  </si>
  <si>
    <t>REHABILITACIÓN DEL SISTEMA DE AGUA POTABLE EN LA LOCALIDAD SAN JUAN MIXTEPEC DISTRITO 26, MUNICIPIO SAN JUAN MIXTEPEC -DTO. 26 -</t>
  </si>
  <si>
    <t>209 - SAN JUAN MIXTEPEC -DTO. 26 -</t>
  </si>
  <si>
    <t>0001 - San Juan Mixtepec Distrito 26</t>
  </si>
  <si>
    <t>CONSTRUCCIÓN DE AULA EN JARDÍN DE NIÑOS "FRIDA KAHLO" CON CLAVE ESCOLAR: 20DJN2034Y, EN LA LOCALIDAD SAN JUAN BAUTISTA CUICATLÁN, MUNICIPIO SAN JUAN BAUTISTA CUICATLÁN</t>
  </si>
  <si>
    <t>177 - SAN JUAN BAUTISTA CUICATLÁN</t>
  </si>
  <si>
    <t>0001 - San Juan Bautista Cuicatlán</t>
  </si>
  <si>
    <t>CONSTRUCCIÓN DE AULA EN ESCUELA PRIMARIA "FIAT LUZ" CON CLAVE ESCOLAR: 20DPR0535V, EN LA LOCALIDAD SAN FRANCISCO NUXAÑO, MUNICIPIO SAN FRANCISCO NUXAÑO</t>
  </si>
  <si>
    <t>147 - SAN FRANCISCO NUXAÑO</t>
  </si>
  <si>
    <t>0001 - San Francisco Nuxaño</t>
  </si>
  <si>
    <t>AMPLIACIÓN DE LA RED DE DISTRIBUCIÓN DE ENERGÍA ELÉCTRICA EN LA LOCALIDAD DE PEÑA COLORADA, MUNICIPIO DE CUYAMECALCO VILLA DE ZARAGOZA</t>
  </si>
  <si>
    <t>0025 - Peña Colorada</t>
  </si>
  <si>
    <t>CONSTRUCCIÓN DE CANCHA DEPORTIVA EN ESCUELA PRIMARIA "UNA LUZ EN LA MONTAÑA" CON CLAVE ESCOLAR: 20DPB0930V, EN LA LOCALIDAD EJIDO EL RINCÓN, MUNICIPIO SAN VICENTE LACHIXÍO</t>
  </si>
  <si>
    <t>535 - SAN VICENTE LACHIXÍO</t>
  </si>
  <si>
    <t>0002 - Ejido el Rincón</t>
  </si>
  <si>
    <t>CONSTRUCCIÓN DE TECHADO EN ÁREAS DE USO MÚLTIPLE EN ESCUELA SECUNDARIA GENERAL "FRANCISCO VILLA" CON CLAVE ESCOLAR: 20DES0039P, EN LA LOCALIDAD MAGDALENA JALTEPEC, MUNICIPIO MAGDALENA JALTEPEC</t>
  </si>
  <si>
    <t>046 - MAGDALENA JALTEPEC</t>
  </si>
  <si>
    <t>0001 - Magdalena Jaltepec</t>
  </si>
  <si>
    <t>REHABILITACION DE LA RED DE DRENAJE SANITARIO EN LA CALLE  PRIMERA  DE LOS FRESNOS, LOCALIDAD SANTA CRUZ XOXOCOTLAN, MUNICIPIO DE SANTA CRUZ XOXOCOTLÁN.</t>
  </si>
  <si>
    <t>CONSTRUCCIÓN DE TECHADO EN ESPACIO PÚBLICO MULTIDEPORTIVO Y BIENES PÚBLICOS EN LA LOCALIDAD DE SAN ISIDRO ALOÁPAM, MUNICIPIO DE SAN MIGUEL ALOÁPAM</t>
  </si>
  <si>
    <t>260 - SAN MIGUEL ALOÁPAM</t>
  </si>
  <si>
    <t>0002 - San Isidro Aloápam</t>
  </si>
  <si>
    <t>CONSTRUCCIÓN DE TECHADO EN ÁREAS DE USO MÚLTIPLE EN IEBO NUM. 118 CON CLAVE ESCOLAR: 20ETH0118N, EN LA LOCALIDAD SAN PEDRO QUIATONI, MUNICIPIO SAN PEDRO QUIATONI</t>
  </si>
  <si>
    <t>CONSTRUCCION DEL SISTEMA DE AGUA POTABLE EN LA AVENIDA JOSE MURAT, LOCALIDAD DE OAXACA DE JUAREZ, MUNICIPIO OAXACA DE JUAREZ</t>
  </si>
  <si>
    <t>MANTENIMIENTO DE LA PRESA "SANTA MARTHA" SOBRE EL RIO CAPITAN EN LA LOCALIDAD LOS SARMIENTO, MUNICIPIO DE SANTA LUCIA OCOTLAN</t>
  </si>
  <si>
    <t>393 - SANTA LUCÍA OCOTLÁN</t>
  </si>
  <si>
    <t>0002 - Los Sarmiento</t>
  </si>
  <si>
    <t>CONSTRUCCIÓN DE AULA EN TEBCEO NUM. 49 CON CLAVE ESCOLAR: 20ETK0049V, EN LA LOCALIDAD CERRO GORDO, MUNICIPIO SANTA MARÍA TONAMECA</t>
  </si>
  <si>
    <t>0006 - Cerro Gordo</t>
  </si>
  <si>
    <t>REHABILITACION DE LA RED DE DRENAJE SANITARIO EN LAS CALLES DE LAGUNA DE TAMIAHUA, FERROCARRIL, MIGUEL HIDALGO, LOCALIDAD SANTA LUCIA DEL CAMINO, MUNICIPIO SANTA LUCIA DEL CAMINO</t>
  </si>
  <si>
    <t>CONSTRUCCIÓN DE AULA EN ESCUELA PRIMARIA "CUAUHTÉMOC" CON CLAVE ESCOLAR: 20DPR0120X, EN LA LOCALIDAD HEROICA CIUDAD DE EJUTLA DE CRESPO, MUNICIPIO HEROICA CIUDAD DE EJUTLA DE CRESPO</t>
  </si>
  <si>
    <t>0001 - Heroica Ciudad de Ejutla de Crespo</t>
  </si>
  <si>
    <t>REHABILITACIÓN DE LA CARRETERA E.C. (HUAJUAPAN DE LEÓN – OAXACA) – SANTA INÉS DE ZARAGOZA, CON CONCRETO ASFÁLTICO, TRAMO DEL KM 0+000 AL KM 14+000, EN LOS MUNICIPIOS DE SANTA INÉS DE ZARAGOZA Y MAGDALENA JALTEPEC</t>
  </si>
  <si>
    <t>569 - SANTA INÉS DE ZARAGOZA</t>
  </si>
  <si>
    <t>0001 - Santa Inés de Zaragoza</t>
  </si>
  <si>
    <t>REHABILITACION DE LA RED DE DRENAJE SANITARIO EN LAS CALLES RUFINO TAMAYO - ELISEO JIMENEZ RUIZ - AV. SIMBOLOS PATRIOS, LOCALIDAD DE SANTA CRUZ XOXOCOTLAN, MUNICIPIO SANTA CRUZ XOXOCOTLAN.</t>
  </si>
  <si>
    <t>CONSTRUCCIÓN DE AULAS EN ESCUELA PRIMARIA "AURORA REYES" CON CLAVE ESCOLAR: 20DPR3626G, EN LA LOCALIDAD ANTIGUAL, MUNICIPIO SAN LUIS AMATLÁN</t>
  </si>
  <si>
    <t>235 - SAN LUIS AMATLÁN</t>
  </si>
  <si>
    <t>0011 - Antigual</t>
  </si>
  <si>
    <t>REHABILITACIÓN DE POZO PROFUNDO DE AGUA POTABLE “GESO”, EN LA LOCALIDAD DE OAXACA DE JUAREZ, MUNICIPIO DE OAXACA DE JUAREZ</t>
  </si>
  <si>
    <t>CONSTRUCCIÓN DE LA CARRETERA SIN NOMBRE CON CONCRETO HIDRÁULICO DE E.C. (OAXACA – PUERTO ESCONDIDO) – SAN SEBASTIÁN DE LAS GRUTAS – SAN VICENTE LACHIXÍO – EJIDO EL RINCÓN, TRAMO DEL KM 0+000 AL KM 8+600, SUBTRAMO DEL KM 0+000 AL KM 0+820, EN EL MUNICIPIO DE SAN VICENTE LACHIXÍO</t>
  </si>
  <si>
    <t>0007 - Llano de Chalaa</t>
  </si>
  <si>
    <t>EQUIPAMIENTO CON TOMÓGRAFO PARA EL HOSPITAL GENERAL "DR. PEDRO ESPINOZA RUEDA" DEL MUNICIPIO DE SANTIAGO PINOTEPA NACIONAL</t>
  </si>
  <si>
    <t>EQUIPAMIENTO CON TOMÓGRAFO PARA EL HOSPITAL GENERAL DEL MUNICIPIO DE SAN PEDRO POCHUTLA</t>
  </si>
  <si>
    <t>REHABILITACIÓN DE LA CARRETERA SIN NOMBRE CON CONCRETO ASFÁLTICO DE SANTIAGO JICAYÁN – SAN JUAN JICAYÁN AL E.C. (SAN PEDRO JICAYÁN – SAN PEDRO ATOYAC), TRAMO DEL KM 0+000 AL KM 2+010, EN EL MUNICIPIO DE SAN PEDRO JICAYÁN</t>
  </si>
  <si>
    <t>0005 - Santiago Jicayán</t>
  </si>
  <si>
    <t>REHABILITACIÓN DE LA CARRETERA SIN NOMBRE CON CONCRETO ASFÁLTICO DE SAN FRANCISCO JALTEPETONGO – EL TIALLE, TRAMO DEL KM 0+000 AL KM 4+800, SUBTRAMO DEL KM 0+000 AL KM 3+000, EN EL MUNICIPIO DE SAN FRANCISCO JALTEPETONGO</t>
  </si>
  <si>
    <t>144 - SAN FRANCISCO JALTEPETONGO</t>
  </si>
  <si>
    <t>0007 - Yodondaa</t>
  </si>
  <si>
    <t>CONSTRUCCIÓN DE PAVIMENTO CON CONCRETO HIDRÁULICO DE LAS CALLES REVOLUCIÓN Y MANUEL BRAVO, EN EL MUNICIPIO DE SANTA ANA CUAUHTÉMOC</t>
  </si>
  <si>
    <t>355 - SANTA ANA CUAUHTÉMOC</t>
  </si>
  <si>
    <t>0001 - Santa Ana Cuauhtémoc</t>
  </si>
  <si>
    <t>CONSTRUCCIÓN DE LA CARRETERA SIN NOMBRE CON CONCRETO HIDRÁULICO DE SANTA MARÍA ZANIZA – TIERRA COLORADA, TRAMO DEL KM 0+000 AL KM 1+870, SUBTRAMO DEL KM 0+000 AL KM 0+660, EN EL MUNICIPIO DE SANTA MARÍA ZANIZA</t>
  </si>
  <si>
    <t>448 - SANTA MARÍA ZANIZA</t>
  </si>
  <si>
    <t>0005 - Tierra Colorada</t>
  </si>
  <si>
    <t>CONSTRUCCIÓN DE LA CARRETERA SIN NOMBRE CON CONCRETO HIDRÁULICO DE SANTIAGO AMOLTEPEC – EL MAMEY, TRAMO DEL KM 0+000 AL KM 10+000, SUBTRAMO DEL KM 0+000 AL KM 1+260, EN EL MUNICIPIO DE SANTIAGO AMOLTEPEC</t>
  </si>
  <si>
    <t>0001 - Santiago Amoltepec</t>
  </si>
  <si>
    <t>CONSTRUCCIÓN DE LA CARRETERA CON CONCRETO HIDRÁULICO DE LAGUNILLA DE CÁRDENAS – JOYA DE SAN NICOLÁS (YUÑUÚ), TRAMO DEL KM 0+000 AL KM 4+600, SUBTRAMO DEL KM 0+000 AL KM 0+620, EN EL MUNICIPIO DE SANTA CATARINA YOSONOTÚ</t>
  </si>
  <si>
    <t>MANTENIMIENTO Y REHABILITACIÓN DE BICIRUTA TRAMO NORTE - SUR Y ORIENTE - PONIENTE EN EL MUNICIPIO DE OAXACA DE JUÁREZ</t>
  </si>
  <si>
    <t>MANTENIMIENTO Y REHABILITACIÓN DE BICIRUTA TRAMO ORIENTE EN EL MUNICIPIO DE SANTA LUCÍA DEL CAMINO</t>
  </si>
  <si>
    <t>FORTALECIMIENTO EN LA ASESORIA Y REPRESENTACIÓN JURÍDICA DE NIÑAS, NIÑOS Y ADOLESCENTES</t>
  </si>
  <si>
    <t>EQUIPAMIENTO PARA EL FORTALECIMIENTO DEL SISTEMA DE VIDEOVIGILANCIA PARA SEGURIDAD PÚBLICA DEL CENTRO DE CONTROL, COMANDO Y COMUNICACIÓN DEL ESTADO DE OAXACA (C4).</t>
  </si>
  <si>
    <t>PRIMERA ETAPA DE EQUIPAMIENTO DE LABORATORIO DE DEMETRIO VALLEJO.</t>
  </si>
  <si>
    <t>030 - EL ESPINAL</t>
  </si>
  <si>
    <t>0001 - El Espinal</t>
  </si>
  <si>
    <t>EQUIPAMIENTO DEL TALLER DE SOLDADURA DEL INSTITUTO TECNOLÓGICO DE POCHUTLA</t>
  </si>
  <si>
    <t>PRIMERA ETAPA DE EQUIPAMIENTO DEL LABORATORIO DE POSGRADO DEL INSTITUTO TECNOLÓGICO DEL VALLE DE ETLA</t>
  </si>
  <si>
    <t>CONSTRUCCIÓN DE AULA EN ESCUELA PRIMARIA "DONAJÍ" CON CLAVE ESCOLAR: 20DPB0816C, EN LA LOCALIDAD LLANO DE AYUCA, MUNICIPIO SANTO DOMINGO NUXAÁ</t>
  </si>
  <si>
    <t>511 - SANTO DOMINGO NUXAÁ</t>
  </si>
  <si>
    <t>0004 - Llano de Ayuca</t>
  </si>
  <si>
    <t>CONSTRUCCIÓN DE AULA EN ESCUELA PRIMARIA "VICENTE GUERRERO" CON CLAVE ESCOLAR: 20DPR1762X, EN LA LOCALIDAD SANTA MARÍA CHICOMETEPEC, MUNICIPIO SANTA MARÍA HUAZOLOTITLÁN</t>
  </si>
  <si>
    <t>0009 - Santa María Chicometepec</t>
  </si>
  <si>
    <t>CONSTRUCCIÓN DE AULAS EN TEBCEO NUM. 42 CON CLAVE ESCOLAR: 20ETK0042B, EN LA LOCALIDAD SAN FRANCISCO YOSOCUTA, MUNICIPIO HEROICA CIUDAD DE HUAJUAPAN DE LEÓN</t>
  </si>
  <si>
    <t>0064 - San Francisco Yosocuta</t>
  </si>
  <si>
    <t>CONSTRUCCIÓN DE AULA EN ESCUELA TELESECUNDARIA CON CLAVE ESCOLAR: 20DTV0199I, EN LA LOCALIDAD SANTA MARTA CHICHIHUALTEPEC, MUNICIPIO HEROICA CIUDAD DE EJUTLA DE CRESPO</t>
  </si>
  <si>
    <t>0019 - Santa Marta Chichihualtepec</t>
  </si>
  <si>
    <t>CONSTRUCCIÓN DE AULA EN ESCUELA TELESECUNDARIA CON CLAVE ESCOLAR: 20DTV1056S, EN LA LOCALIDAD SANTA MARÍA VIGALLO, MUNICIPIO ZIMATLÁN DE ÁLVAREZ</t>
  </si>
  <si>
    <t>0008 - Santa María Vigallo</t>
  </si>
  <si>
    <t>CONSTRUCCIÓN DE AULA EN ESCUELA TELESECUNDARIA CON CLAVE ESCOLAR: 20DTV0845Y, EN LA LOCALIDAD PASO DEL JIOTE, MUNICIPIO SANTA MARÍA HUAZOLOTITLÁN</t>
  </si>
  <si>
    <t>0007 - Paso del Jiote</t>
  </si>
  <si>
    <t>CONSTRUCCIÓN DE AULA EN JARDÍN DE NIÑOS INDÍGENA "EVOLUCIÓN" CON CLAVE ESCOLAR: 20DCC0690H, EN LA LOCALIDAD HUAZANTLÁN DEL RÍO, MUNICIPIO SAN MATEO DEL MAR</t>
  </si>
  <si>
    <t>248 - SAN MATEO DEL MAR</t>
  </si>
  <si>
    <t>0003 - Huazantlán del Río</t>
  </si>
  <si>
    <t>REHABILITACIÓN DEL SISTEMA DE AGUA POTABLE EN LA LOCALIDAD SANTA MARÍA PÁPALO, MUNICIPIO SANTA MARÍA PÁPALO</t>
  </si>
  <si>
    <t>CONSTRUCCIÓN DE BARDA PERIMETRAL EN JARDÍN DE NIÑOS "AMADO NERVO" CON CLAVE ESCOLAR: 20DJN1009S, EN LA LOCALIDAD SITIO DEL PALMAR, MUNICIPIO SAN LUIS AMATLÁN</t>
  </si>
  <si>
    <t>0021 - Sitio del Palmar</t>
  </si>
  <si>
    <t>CONSTRUCCIÓN DE SANITARIOS EN ESCUELA PRIMARIA "BENITO JUÁREZ" CON CLAVE ESCOLAR: 20DPR0770Z, EN LA LOCALIDAD SAN SEBASTIÁN TLACOLULA, MUNICIPIO SAN JUAN TEPEUXILA</t>
  </si>
  <si>
    <t>0005 - San Sebastián Tlacolula</t>
  </si>
  <si>
    <t>CONSTRUCCIÓN DE TECHO FIRME PARA EL MEJORAMIENTO DE LA VIVIENDA EN LA LOCALIDAD SAN JUAN DIUXI, MUNICIPIO SAN JUAN DIUXI</t>
  </si>
  <si>
    <t>195 - SAN JUAN DIUXI</t>
  </si>
  <si>
    <t>0001 - San Juan Diuxi</t>
  </si>
  <si>
    <t>CONSTRUCCIÓN DE TECHO FIRME PARA EL MEJORAMIENTO DE LA VIVIENDA, EN LA LOCALIDAD SAN PEDRO IXTLAHUACA, MUNICIPIO SAN PEDRO IXTLAHUACA.</t>
  </si>
  <si>
    <t>0001 - San Pedro Ixtlahuaca</t>
  </si>
  <si>
    <t>CONSTRUCCIÓN DE OFICINA ADMINISTRATIVA EN EL CENTRO DE SUPERVISIÓN ESCOLAR NÚMERO 189, CON CLAVE: 20FZI0189Z, EN LA LOCALIDAD DE MAGDALENA PEÑASCO, MUNICIPIO DE MAGDALENA PEÑASCO</t>
  </si>
  <si>
    <t>050 - MAGDALENA PEÑASCO</t>
  </si>
  <si>
    <t>0001 - Magdalena Peñasco</t>
  </si>
  <si>
    <t>CONTROL Y COMBATE BIOLÓGICO DEL INSECTO DEFOLIADOR. SANTIAGO XIACUÍ, SANTIAGO XIACUÍ</t>
  </si>
  <si>
    <t>0001 - Santiago Xiacuí</t>
  </si>
  <si>
    <t>CONTROL Y COMBATE BIOLÓGICO DEL INSECTO DEFOLIADOR. VILLA DÍAZ ORDAZ, SAN MIGUEL DEL VALLE</t>
  </si>
  <si>
    <t>CONTROL Y COMBATE BIOLÓGICO DEL INSECTO DEFOLIADOR. SANTA CRUZ ITUNDUJIA, SANTA CRUZ ITUNDUJIA</t>
  </si>
  <si>
    <t>0001 - Santa Cruz Itundujia</t>
  </si>
  <si>
    <t>CONTROL Y COMBATE BIOLÓGICO DEL INSECTO DEFOLIADOR. SANTIAGO XIACUÍ, SAN ANDRÉS YATUNI</t>
  </si>
  <si>
    <t>0003 - San Andrés Yatuni</t>
  </si>
  <si>
    <t>CONTROL Y COMBATE BIOLÓGICO DEL INSECTO DEFOLIADOR. NUEVO ZOQUIÁPAM, NUEVO ZOQUIÁPAM</t>
  </si>
  <si>
    <t>504 - NUEVO ZOQUIÁPAM</t>
  </si>
  <si>
    <t>0001 - Nuevo Zoquiápam</t>
  </si>
  <si>
    <t>CONTROL Y COMBATE BIOLÓGICO DEL INSECTO DEFOLIADOR. SANTIAGO COMALTEPEC, SANTIAGO COMALTEPEC</t>
  </si>
  <si>
    <t>0001 - Santiago Comaltepec</t>
  </si>
  <si>
    <t>CONTROL Y COMBATE BIOLÓGICO DEL INSECTO DEFOLIADOR. SANTO DOMINGO TEPUXTEPEC,SANTO DOMINGO TEPUXTEPEC</t>
  </si>
  <si>
    <t>0001 - Santo Domingo Tepuxtepec</t>
  </si>
  <si>
    <t>CONTROL Y COMBATE BIOLÓGICO DEL INSECTO DEFOLIADOR. SAN ANDRÉS CABECERA NUEVA, SAN ANDRÉS CABECERA NUEVA</t>
  </si>
  <si>
    <t>088 - SAN ANDRÉS CABECERA NUEVA</t>
  </si>
  <si>
    <t>0001 - San Andrés Cabecera Nueva</t>
  </si>
  <si>
    <t>CONTROL Y COMBATE BIOLÓGICO DEL INSECTO DEFOLIADOR. LA REFORMA, ESTANZUELA GRANDE</t>
  </si>
  <si>
    <t>076 - LA REFORMA</t>
  </si>
  <si>
    <t>0002 - Estanzuela Grande</t>
  </si>
  <si>
    <t>CONTROL Y COMBATE BIOLÓGICO DEL INSECTO DEFOLIADOR. LA REFORMA, LA REFORMA</t>
  </si>
  <si>
    <t>0001 - La Reforma</t>
  </si>
  <si>
    <t>CONTROL Y COMBATE BIOLÓGICO DEL INSECTO DEFOLIADOR. LA REFORMA, EL PORVENIR</t>
  </si>
  <si>
    <t>0003 - El Porvenir</t>
  </si>
  <si>
    <t>CONTROL Y COMBATE BIOLÓGICO DEL INSECTO DEFOLIADOR. SANTA CRUZ ITUNDUJIA, ZARAGOZA</t>
  </si>
  <si>
    <t>0013 - Zaragoza</t>
  </si>
  <si>
    <t>CONTROL Y COMBATE BIOLÓGICO DEL INSECTO DEFOLIADOR. SANTA MARÍA ZACATEPEC, SANTA MARÍA ZACATEPEC</t>
  </si>
  <si>
    <t>447 - SANTA MARÍA ZACATEPEC</t>
  </si>
  <si>
    <t>0001 - Santa María Zacatepec</t>
  </si>
  <si>
    <t>CONTROL Y COMBATE BIOLÓGICO DEL INSECTO DEFOLIADOR. PUTLA VILLA DE GUERRERO, ASUNCIÓN ATOYAQUILLO</t>
  </si>
  <si>
    <t>0004 - Asunción Atoyaquillo</t>
  </si>
  <si>
    <t>CONTROL Y COMBATE BIOLÓGICO DEL INSECTO DEFOLIADOR. PUTLA VILLA DE GUERRERO, PUTLA VILLA DE GUERRERO</t>
  </si>
  <si>
    <t>0001 - Putla Villa de Guerrero</t>
  </si>
  <si>
    <t>CONTROL Y COMBATE BIOLÓGICO DEL INSECTO DEFOLIADOR. SANTA MARÍA IPALAPA, SANTA MARÍA EL RINCÓN</t>
  </si>
  <si>
    <t>0014 - Santa María el Rincón</t>
  </si>
  <si>
    <t>CONTROL Y COMBATE BIOLÓGICO DEL INSECTO DEFOLIADOR. SANTIAGO IXTAYUTLA, VILLA NUEVA</t>
  </si>
  <si>
    <t>466 - SANTIAGO IXTAYUTLA</t>
  </si>
  <si>
    <t>0016 - Villa Nueva</t>
  </si>
  <si>
    <t>CONTROL Y COMBATE BIOLÓGICO DEL INSECTO DEFOLIADOR. SANTIAGO IXTAYUTLA, LA MURALLA</t>
  </si>
  <si>
    <t>0012 - La Muralla</t>
  </si>
  <si>
    <t>CONTROL Y COMBATE BIOLÓGICO DEL INSECTO DEFOLIADOR. SANTIAGO IXTAYUTLA, EL CARASOL</t>
  </si>
  <si>
    <t>0004 - El Carasol</t>
  </si>
  <si>
    <t>CONTROL Y COMBATE BIOLÓGICO DEL INSECTO DEFOLIADOR. SAN JUAN COLORADO, NUEVO PROGRESO</t>
  </si>
  <si>
    <t>188 - SAN JUAN COLORADO</t>
  </si>
  <si>
    <t>0002 - Nuevo Progreso</t>
  </si>
  <si>
    <t>CONTROL Y COMBATE BIOLÓGICO DEL INSECTO DEFOLIADOR. SAN JUAN COLORADO, LA SOLEDAD</t>
  </si>
  <si>
    <t>0020 - La Soledad</t>
  </si>
  <si>
    <t>CONTROL Y COMBATE BIOLÓGICO DEL INSECTO DEFOLIADOR. SANTA CRUZ NUNDACO, SANTA CRUZ NUNDACO</t>
  </si>
  <si>
    <t>379 - SANTA CRUZ NUNDACO</t>
  </si>
  <si>
    <t>0001 - Santa Cruz Nundaco</t>
  </si>
  <si>
    <t>CONSTRUCCIÓN DE CENTRO DE DESARROLLO COMUNITARIO EN LA LOCALIDAD DE CERRO DE AIRE MUNICIPIO DE SANTOS REYES NOPALA (PRIMERA ETAPA)</t>
  </si>
  <si>
    <t>0008 - Cerro de Aire</t>
  </si>
  <si>
    <t>586 - DIRECCIÓN GENERAL DEL CENTRO INTEGRALMENTE PLANEADO HUATULCO</t>
  </si>
  <si>
    <t>586001 - DIRECCIÓN GENERAL DEL CENTRO INTEGRALMENTE PLANEADO HUATULCO</t>
  </si>
  <si>
    <t>CONSTRUCCIÓN DE CASA DE LA CULTURA (PRIMERA ETAPA) EN LA LOCALIDAD DE SANTO DOMINGO TEOJOMULCO, MUNICIPIO DE SANTO DOMINGO TEOJOMULCO</t>
  </si>
  <si>
    <t>516 - SANTO DOMINGO TEOJOMULCO</t>
  </si>
  <si>
    <t>0001 - Santo Domingo Teojomulco</t>
  </si>
  <si>
    <t>549 - UNIVERSIDAD DEL PAPALOAPAN</t>
  </si>
  <si>
    <t>549001 - UNIVERSIDAD DEL PAPALOAPAN</t>
  </si>
  <si>
    <t>CONSTRUCCIÓN DE EDIFICIO DE AULAS DE 2 NIVELES, PARA LA DES DE INGENIERÍA Y TECNOLOGÍA Y DES CIENCIAS AGROPECUARIAS, CAMPUS LOMA BONITA.</t>
  </si>
  <si>
    <t>EQUIPAMIENTO PARA INGENIERÍA FERROVIARA EN INSTITUTO TECNOLÓGICO DE SALINA CRUZ</t>
  </si>
  <si>
    <t>0001 - Salina Cruz</t>
  </si>
  <si>
    <t>528 - INSTITUTO DEL PATRIMONIO CULTURAL DEL ESTADO DE OAXACA</t>
  </si>
  <si>
    <t>528001 - DIRECCIÓN GENERAL PARA ADMINISTRACIÓN Y OPERACIÓN DE LOS SERVICIOS</t>
  </si>
  <si>
    <t>REHABILITACIÓN DEL MUSEO DE LOS PINTORES OAXAQUEÑOS (M.U.P.O.), OAXACA DE JUÁREZ, OAXACA</t>
  </si>
  <si>
    <t>REHABILITACIÓN CON PAVIMENTO ASFÁLTICO EN VIALIDADES EN LA LOCALIDAD OAXACA DE JUÁREZ, MUNICIPIO DE OAXACA DE JUÁREZ</t>
  </si>
  <si>
    <t>REHABILITACIÓN DE LA BIBLIOTECA PÚBLICA CENTRAL MARGARITA MAZA DE JUÁREZ, OAXACA DE JUÁREZ, OAXACA</t>
  </si>
  <si>
    <t>CONSTRUCCIÓN DE BARDA PERIMETRAL EN ESCUELA PRIMARIA "VEINTE DE NOVIEMBRE" CON CLAVE ESCOLAR: 20DPR1815L, EN LA LOCALIDAD CERRO BLANCO, MUNICIPIO SANTA MARÍA HUAZOLOTITLÁN</t>
  </si>
  <si>
    <t>0002 - Cerro Blanco</t>
  </si>
  <si>
    <t>CONSTRUCCIÓN DE BARDA PERIMETRAL EN IEBO NUM. 46 CON CLAVE ESCOLAR: 20ETH0047J, EN LA LOCALIDAD SAN JOSÉ RÍO MANZO, MUNICIPIO SAN JUAN LALANA</t>
  </si>
  <si>
    <t>0018 - San José Río Manzo</t>
  </si>
  <si>
    <t>CONSTRUCCIÓN DE SANITARIO CON BIODIGESTOR PARA EL MEJORAMIENTO DE LA VIVIENDA, EN LA LOCALIDAD SAN PEDRO CHICOZAPOTES, MUNICIPIO SAN JUAN BAUTISTA CUICATLÁN.</t>
  </si>
  <si>
    <t>0009 - San Pedro Chicozapotes</t>
  </si>
  <si>
    <t>CONSTRUCCIÓN DE SANITARIO CON BIODIGESTOR PARA EL MEJORAMIENTO DE LA VIVIENDA, EN LA LOCALIDAD SAN JOSÉ DEL CHILAR, MUNICIPIO SAN JUAN BAUTISTA CUICATLÁN.</t>
  </si>
  <si>
    <t>0007 - San José del Chilar</t>
  </si>
  <si>
    <t>CONSTRUCCIÓN DE SANITARIO CON BIODIGESTOR PARA EL MEJORAMIENTO DE LA VIVIENDA, EN LA LOCALIDAD SANTIAGO DOMINGUILLO, MUNICIPIO SAN JUAN BAUTISTA CUICATLÁN.</t>
  </si>
  <si>
    <t>0013 - Santiago Dominguillo</t>
  </si>
  <si>
    <t>CONSTRUCCIÓN DE SANITARIO CON BIODIGESTOR PARA EL MEJORAMIENTO DE LA VIVIENDA, EN LA LOCALIDAD GUADALUPE DE LOS OBOS, MUNICIPIO SAN JUAN BAUTISTA CUICATLÁN.</t>
  </si>
  <si>
    <t>0003 - Guadalupe de los Obos</t>
  </si>
  <si>
    <t>CONSTRUCCIÓN DE SANITARIO CON BIODIGESTOR PARA EL MEJORAMIENTO DE LA VIVIENDA, EN LA LOCALIDAD SAN JUAN BAUTISTA CUICATLÁN, MUNICIPIO SAN JUAN BAUTISTA CUICATLÁN.</t>
  </si>
  <si>
    <t>REHABILITACIÓN DE LA RED DE DRENAJE SANITARIO EN LA CALLE SAN LUIS POTOSÍ, LOCALIDAD DE SANTA LUCIA DEL CAMINO, MUNICIPIO DE SANTA LUCÍA DEL CAMINO.</t>
  </si>
  <si>
    <t>CONSTRUCCIÓN DE CUARTO DORMITORIO PARA EL MEJORAMIENTO DE LA VIVIENDA, EN LA LOCALIDAD SANTA CATARINA YUTANDÚ, MUNICIPIO HEROICA VILLA TEZOATLÁN DE SEGURA Y LUNA, CUNA DE LA INDEPENDENCIA DE OAXACA.</t>
  </si>
  <si>
    <t>0013 - Santa Catarina Yutandú</t>
  </si>
  <si>
    <t>CONSTRUCCIÓN DE SANITARIO CON BIODIGESTOR PARA EL MEJORAMIENTO DE LA VIVIENDA, EN LA LOCALIDAD RÍO TEJÓN, MUNICIPIO SAN BARTOLOMÉ LOXICHA.</t>
  </si>
  <si>
    <t>117 - SAN BARTOLOMÉ LOXICHA</t>
  </si>
  <si>
    <t>0008 - Río Tejón</t>
  </si>
  <si>
    <t>CONSTRUCCIÓN DE CUARTO DORMITORIO PARA EL MEJORAMIENTO DE LA VIVIENDA, EN LA LOCALIDAD LA REFORMA JUQUILA, MUNICIPIO SANTIAGO JUXTLAHUACA.</t>
  </si>
  <si>
    <t>0050 - La Reforma Juquila</t>
  </si>
  <si>
    <t>CONSTRUCCIÓN DE CUARTO DORMITORIO PARA EL MEJORAMIENTO DE LA VIVIENDA, EN LA LOCALIDAD LA JOYA MANANTIAL, MUNICIPIO SAN JOSÉ CHILTEPEC.</t>
  </si>
  <si>
    <t>0034 - La Joya Manantial</t>
  </si>
  <si>
    <t>AMPLIACIÓN DEL SISTEMA DE AGUA POTABLE EN LA LOCALIDAD SANTA CATARINA COATLÁN, MUNICIPIO MIAHUATLÁN DE PORFIRIO DÍAZ</t>
  </si>
  <si>
    <t>EQUIPAMIENTO PARA LA IMPLEMENTACIÓN DEL PROGRAMA AHORRA TECNM EN EL INSTITUTO TECNOLÓGICO DE OAXACA</t>
  </si>
  <si>
    <t>DIAGNÓSTICOS CONTEXTUALES EN MATERIA DE PROTECCIÓN DE DERECHOS DE NIÑAS, NIÑOS Y ADOLESCENTES</t>
  </si>
  <si>
    <t>EQUIPAMIENTO DE UNIDADES BÁSICAS DE REHABILITACIÓN DEL ESTADO DE OAXACA</t>
  </si>
  <si>
    <t>CONSTRUCCIÓN DE TECHADO DE CANCHA DE USOS MÚLTIPLES (MONTOYA, FRACC. ÁLAMOS IVO) EN LA LOCALIDAD DE OAXACA DE JUÁREZ, MUNICIPIO DE OAXACA DE JUÁREZ</t>
  </si>
  <si>
    <t>AMPLIACIÓN DE LA RED DE DISTRIBUCIÓN DE ENERGÍA ELÉCTRICA EN LA CALLE EMILIANO ZAPATA, EN LA LOCALIDAD EL SANDIAL (COLONIA), MUNICIPIO DE SAN ANDRÉS HUAYÁPAM</t>
  </si>
  <si>
    <t>091 - SAN ANDRÉS HUAYÁPAM</t>
  </si>
  <si>
    <t>0010 - El Sandial [Colonia]</t>
  </si>
  <si>
    <t>CONSTRUCCIÓN DE PAVIMENTO CON CONCRETO HIDRÁULICO EN LAS CALLES JOSÉ LA FRAGUA Y UNIDAD POPULAR EN LA LOCALIDAD DE SAN FRANCISCO TELIXTLAHUACA, MUNICIPIO DE SAN FRANCISCO TELIXTLAHUACA</t>
  </si>
  <si>
    <t>150 - SAN FRANCISCO TELIXTLAHUACA</t>
  </si>
  <si>
    <t>0001 - San Francisco Telixtlahuaca</t>
  </si>
  <si>
    <t>AMPLIACIÓN DE LA RED DE DISTRIBUCIÓN DE ENERGÍA ELÉCTRICA EN EL PARAJE ROO-LITEE DE LA LOCALIDAD DE ABEJONES DEL MUNICIPIO DE ABEJONES</t>
  </si>
  <si>
    <t>001 - ABEJONES</t>
  </si>
  <si>
    <t>0001 - Abejones</t>
  </si>
  <si>
    <t>CONSTRUCCION DE PAVIMENTO CON CONCRETO HIDRÁULICO DE LA CALLE A LA TELESECUNDARIA EN LA LOCALIDAD DE SAN MATEO YUCUTINDOO, MUNICIPIO DE SAN MATEO YUCUTINDOO</t>
  </si>
  <si>
    <t>566 - SAN MATEO YUCUTINDOO</t>
  </si>
  <si>
    <t>0009 - San Mateo Yucutindoo</t>
  </si>
  <si>
    <t>REHABILITACIÓN DE LA CARRETERA CON CONCRETO ASFÁLTICO E.C. (MITLA - YACOCHI) - ASUNCIÓN CACALOTEPEC - SAN ISIDRO HUAYÁPAM - SANTA MARÍA ALOTEPEC, TRAMO DEL KM 0+000 AL KM 57+500, SUBTRAMO DEL KM 46+000 AL KM 57+500, EN LOS MUNICIPIOS DE SANTA MARÍA ALOTEPEC Y SAN MIGUEL QUETZALTEPEC</t>
  </si>
  <si>
    <t>394 - SANTA MARÍA ALOTEPEC</t>
  </si>
  <si>
    <t>0001 - Santa María Alotepec</t>
  </si>
  <si>
    <t>CONSTRUCCIÓN DE LA CARRETERA SIN NOMBRE CON CONCRETO HIDRÁULICO DE BENITO JUÁREZ - SAN MIGUEL EL GRANDE, TRAMO DEL KM 0+000 AL KM 5+200, SUBTRAMO DEL KM 1+800 AL KM 3+280, EN EL MUNICIPIO DE SAN MIGUEL EL GRANDE</t>
  </si>
  <si>
    <t>269 - SAN MIGUEL EL GRANDE</t>
  </si>
  <si>
    <t>0002 - Benito Juárez</t>
  </si>
  <si>
    <t>CONSTRUCCIÓN DE CARRETERA SIN NOMBRE, CON CONCRETO HIDRÁULICO DEL E.C. KM 15 (OAXACA - PUERTO ESCONDIDO ACCESO VIDRIO - JUQUILA) – SANTA MARIA AMIALTEPEC DEL KM 0+000 AL KM 6+000, SUBTRAMO DEL KM 1+500 AL KM 2+500, EN EL MUNICIPIO DE SANTA CATARINA JUQUILA</t>
  </si>
  <si>
    <t>0105 - El Portillo Amialtepec</t>
  </si>
  <si>
    <t>CONSTRUCCIÓN DE LA CARRETERA SIN NOMBRE CON CONCRETO HIDRÁULICO DE SAN MARQUITOS - CHARCO REDONDO, TRAMO DEL KM 0+000 AL KM 6+500, 5UBTRAMO DEL KM 3+400 AL KM 4+840, EN EL MUNICIPIO DE VILLA DE TUTUTEPEC</t>
  </si>
  <si>
    <t>0017 - Charco Redondo</t>
  </si>
  <si>
    <t>CONSTRUCCIÓN DE LA CARRETERA CON CONCRETO HIDRÁULICO DE TATALTEPEC DE VALDÉS – PLAN DE AIRE, TRAMO DEL KM 0+000 AL KM 7+400, SUBTRAMO DEL KM 0+800 AL KM 1+860, EN EL MUNICIPIO DE TATALTEPEC DE VALDÉS</t>
  </si>
  <si>
    <t>0012 - Barrio Chico de Abajo</t>
  </si>
  <si>
    <t>REHABILITACIÓN DE LA CARRETERA SIN NOMBRE CON CONCRETO ASFÁLTICO DEL E.C. (SANTIAGO PINOTEPA – PUERTO ESCONDIDO) – RIO VIEJO, TRAMO DEL KM 0+000 AL KM 7+800, SUBTRAMO DEL KM 0+000 AL KM 3+850, EN EL MUNICIPIO DE SANTIAGO JAMILTEPEC</t>
  </si>
  <si>
    <t>0019 - San José Río Verde (La Boquilla)</t>
  </si>
  <si>
    <t>CONSTRUCCIÓN DE LA CARRETERA SIN NOMBRE CON CONCRETO HIDRÁULICO DE SAN BARTOLOMÉ LOXICHA – AGUA BLANCA, TRAMO DEL KM 0+000 AL KM 10+000, SUBTRAMO DEL KM 0+000 AL KM 1+240, EN EL MUNICIPIO DE SAN BARTOLOMÉ LOXICHA</t>
  </si>
  <si>
    <t>0016 - Vista al Mar [Barrio]</t>
  </si>
  <si>
    <t>REHABILITACIÓN DEL SISTEMA DE AGUA POTABLE EN LA LOCALIDAD SAN PEDRO TEUTILA, MUNICIPIO SAN PEDRO TEUTILA</t>
  </si>
  <si>
    <t>0001 - San Pedro Teutila</t>
  </si>
  <si>
    <t>REHABILITACIÓN DE LA PLANTA DE TRATAMIENTO DE AGUAS RESIDUALES EN LA LOCALIDAD SAN MIGUEL TILQUIÁPAM, MUNICIPIO SAN MIGUEL TILQUIÁPAM</t>
  </si>
  <si>
    <t>284 - SAN MIGUEL TILQUIÁPAM</t>
  </si>
  <si>
    <t>0001 - San Miguel Tilquiápam</t>
  </si>
  <si>
    <t>REHABILITACIÓN DEL SISTEMA DE AGUA POTABLE EN LA LOCALIDAD SAN MIGUEL TILQUIÁPAM, MUNICIPIO SAN MIGUEL TILQUIÁPAM</t>
  </si>
  <si>
    <t>REHABILITACIÓN DEL SISTEMA DE AGUA POTABLE 2DA. ETAPA EN LA LOCALIDAD SANTA CRUZ TUTUTEPEC, MUNICIPIO VILLA DE TUTUTEPEC.</t>
  </si>
  <si>
    <t>0043 - Santa Cruz Tututepec</t>
  </si>
  <si>
    <t>CONSTRUCCIÓN DE LA PLANTA DE TRATAMIENTO DE AGUAS RESIDUALES, EN LA LOCALIDAD DE SAN FRANCISCO TELIXTLAHUACA, MUNICIPIO SAN FRANCISCO TELIXTLAHUACA</t>
  </si>
  <si>
    <t>CONSTRUCCIÓN DE LA PLANTA DE TRATAMIENTO DE AGUAS RESIDUALES EN LA LOCALIDAD SANTA MARÍA COYOTEPEC, MUNICIPIO SANTA MARÍA COYOTEPEC</t>
  </si>
  <si>
    <t>403 - SANTA MARÍA COYOTEPEC</t>
  </si>
  <si>
    <t>0001 - Santa María Coyotepec</t>
  </si>
  <si>
    <t>CONSTRUCCIÓN DE TECHADO EN ÁREAS DE USO MÚLTIPLE EN ESCUELA SECUNDARIA TÉCNICA NUM. 182 CON CLAVE ESCOLAR: 20DST0198W, EN LA LOCALIDAD BARRA COPALITA, MUNICIPIO SAN MIGUEL DEL PUERTO.</t>
  </si>
  <si>
    <t>0005 - Barra Copalita</t>
  </si>
  <si>
    <t>CONSTRUCCIÓN DE TECHADO EN ÁREAS DE USO MÚLTIPLE EN ESCUELA PRIMARIA "REVOLUCIÓN" CON CLAVE ESCOLAR: 20DPR0426O, EN LA LOCALIDAD SAN ANDRÉS NUXIÑO, MUNICIPIO SAN ANDRÉS NUXIÑO</t>
  </si>
  <si>
    <t>094 - SAN ANDRÉS NUXIÑO</t>
  </si>
  <si>
    <t>0001 - San Andrés Nuxiño</t>
  </si>
  <si>
    <t>CONSTRUCCIÓN DE TECHADO EN ÁREAS DE USO MÚLTIPLE EN CECYTE NUM. 31 CON CLAVE ESCOLAR: 20ETC0031N, EN LA LOCALIDAD SANTA ELENA EL TULE, MUNICIPIO SANTA MARÍA TONAMECA</t>
  </si>
  <si>
    <t>0092 - Santa Elena el Tule</t>
  </si>
  <si>
    <t>CONSTRUCCIÓN DE AULAS EN ESCUELA PRIMARIA "MORELOS" CON CLAVE ESCOLAR: 20DPR0809U, EN LA LOCALIDAD SITIO DEL PALMAR, MUNICIPIO SAN LUIS AMATLÁN</t>
  </si>
  <si>
    <t>CONSTRUCCIÓN DE AULA EN JARDÍN DE NIÑOS "SOR JUANA INÉS DE LA CRUZ" CON CLAVE ESCOLAR: 20DJN2099H, EN LA LOCALIDAD RÍO POTRERO, MUNICIPIO SANTA MARÍA ZOQUITLÁN</t>
  </si>
  <si>
    <t>449 - SANTA MARÍA ZOQUITLÁN</t>
  </si>
  <si>
    <t>0037 - Río Potrero</t>
  </si>
  <si>
    <t>CONSTRUCCIÓN DE AULA EN ESCUELA TELESECUNDARIA CON CLAVE ESCOLAR: 20DTV1654O, EN LA LOCALIDAD LOMAS DE SAN JUAN, MUNICIPIO CUILÁPAM DE GUERRERO</t>
  </si>
  <si>
    <t>0034 - Lomas de San Juan</t>
  </si>
  <si>
    <t>CONSTRUCCIÓN DE AULA EN ESCUELA TELESECUNDARIA CON CLAVE ESCOLAR: 20DTV1855L, EN LA LOCALIDAD SAN ISIDRO LLANO GRANDE, MUNICIPIO VILLA DE TUTUTEPEC</t>
  </si>
  <si>
    <t>0054 - San Isidro Llano Grande</t>
  </si>
  <si>
    <t>CONSTRUCCIÓN DE CANCHA DEPORTIVA EN ESCUELA PRIMARIA "FRANCISCO TOLEDO" CON CLAVE ESCOLAR: 20DPR3360Q, EN LA LOCALIDAD COLONIA DEL SOL, MUNICIPIO SANTIAGO SUCHILQUITONGO</t>
  </si>
  <si>
    <t>0007 - Colonia del Sol</t>
  </si>
  <si>
    <t>CONSTRUCCIÓN DE CANCHA DEPORTIVA EN ESCUELA PRIMARIA "ARTEMIA MONTESINOS" CON CLAVE ESCOLAR: 20DPR2687N, EN LA LOCALIDAD RANCHO VIEJO, MUNICIPIO CONSTANCIA DEL ROSARIO</t>
  </si>
  <si>
    <t>0012 - Rancho Viejo</t>
  </si>
  <si>
    <t>CONSTRUCCIÓN DE AULA EN ESCUELA SECUNDARIA TÉCNICA NUM. 117 CON CLAVE ESCOLAR: 20DST0125D, EN LA LOCALIDAD JOSÉ MARÍA MORELOS, MUNICIPIO SANTA MARÍA HUAZOLOTITLÁN</t>
  </si>
  <si>
    <t>0005 - José María Morelos</t>
  </si>
  <si>
    <t>CONSTRUCCIÓN DE AULA EN ESCUELA PRIMARIA "BICENTENARIO DE LA INDEPENDENCIA" CON CLAVE ESCOLAR: 20DPR3604V, EN LA LOCALIDAD PARAJE ZAVALETA, MUNICIPIO CUILÁPAM DE GUERRERO</t>
  </si>
  <si>
    <t>0038 - Paraje Zavaleta</t>
  </si>
  <si>
    <t>CONSTRUCCIÓN DE BARDA PERIMETRAL EN JARDÍN DE NIÑOS INDÍGENA "MARÍA MONTESSORI" CON CLAVE ESCOLAR: 20DCC2504J, EN LA LOCALIDAD EL LIMONCILLO, MUNICIPIO SANTIAGO AMOLTEPEC</t>
  </si>
  <si>
    <t>0053 - El Limoncillo</t>
  </si>
  <si>
    <t>CONSTRUCCIÓN DE CANCHA DEPORTIVA EN ESCUELA TELESECUNDARIA CON CLAVE ESCOLAR: 20DTV1389G, EN LA LOCALIDAD EJIDO EL RINCÓN, MUNICIPIO SAN VICENTE LACHIXÍO</t>
  </si>
  <si>
    <t>CONSTRUCCIÓN DE AULA EN JARDÍN DE NIÑOS "FRANCISCO GONZÁLEZ BOCANEGRA" CON CLAVE ESCOLAR: 20DJN1327E, EN LA LOCALIDAD BARRANCA LARGA, MUNICIPIO HEROICA CIUDAD DE EJUTLA DE CRESPO</t>
  </si>
  <si>
    <t>0003 - Barranca Larga</t>
  </si>
  <si>
    <t>CONSTRUCCIÓN DE AULA EN JARDÍN DE NIÑOS INDÍGENA "CÉSAR A. RUIZ" CON CLAVE ESCOLAR: 20DCC0475R, EN LA LOCALIDAD LAS CUEVAS, MUNICIPIO SANTIAGO AMOLTEPEC</t>
  </si>
  <si>
    <t>0007 - Las Cuevas</t>
  </si>
  <si>
    <t>CONSTRUCCIÓN DE AULA EN JARDÍN DE NIÑOS INDÍGENA "5 DE MAYO" CON CLAVE ESCOLAR: 20DCC0483Z, EN LA LOCALIDAD COLONIA DE JESÚS (LA CUCARACHA), MUNICIPIO SANTIAGO AMOLTEPEC</t>
  </si>
  <si>
    <t>0020 - Colonia de Jesús (La Cucaracha)</t>
  </si>
  <si>
    <t>REHABILITACION DEL SISTEMA DE AGUA POTABLE EN LA AVENIDA SIMBOLOS PATRIOS Y  EN LA CALLE DE JAZMINES, LOCALIDAD SAN ANTONIO DE LA CAL, MUNICIPIO DE SAN ANTONIO DE LA CAL</t>
  </si>
  <si>
    <t>REHABILITACION DEL SISTEMA DE AGUA POTABLE EN LA CALLE SAN LUIS POTOSÍ, LOCALIDAD DE SANTA LUCIA DEL CAMINO, MUNICIPIO DE SANTA LUCÍA DEL CAMINO</t>
  </si>
  <si>
    <t>CONSTRUCCION DEL SISTEMA DE AGUA POTABLE (LINEA DE CONDUCCION) EN LA AVENIDA RIVERAS DEL RIO ATOYAC - AVENIDA FERROCARRIL - CAMINO ANTIGUO A SAN BARTOLO COYOTEPEC, LOCALIDAD SANTA CRUZ XOXOCOTLAN, MUNICIPIO DE SANTA CRUZ XOXOCOTLAN</t>
  </si>
  <si>
    <t>EQUIPAMIENTO DEL CENTRO DE REHABILITACIÓN Y EDUCACIÓN ESPECIAL DE OAXACA</t>
  </si>
  <si>
    <t>0001 - San Bartolo Coyotepec</t>
  </si>
  <si>
    <t>MANTENIMIENTO DE EQUIPO DE LABORATORIOS Y AIRES ACONDICIONADOS, CAMPUS TUXTEPEC Y LOMA BONITA</t>
  </si>
  <si>
    <t>906 - COBERTURA DISTRITAL TUXTEPEC</t>
  </si>
  <si>
    <t>9999 - COBERTURA DISTRITAL TUXTEPEC</t>
  </si>
  <si>
    <t>550 - UNIVERSIDAD TECNOLÓGICA DE LA MIXTECA</t>
  </si>
  <si>
    <t>550001 - UNIVERSIDAD TECNOLÓGICA DE LA MIXTECA</t>
  </si>
  <si>
    <t>MODERNIZACIÓN DEL EQUIPO DE CÓMPUTO Y MOBILIARIO DE LOS LABORATORIOS PARA PROGRAMAS STEM DE LA UNIVERSIDAD TECNOLÓGICA DE LA MIXTECA</t>
  </si>
  <si>
    <t>0002 - Acatlima</t>
  </si>
  <si>
    <t>EQUIPAMIENTO Y ACTUALIZACIÓN DE EQUIPO ELECTROMECÁNICO Y FÍSICO-QUÍMICO, DE LOS LABORATORIOS PARA PROGRAMAS STEM DE LA UNIVERSIDAD TECNOLÓGICA DE LA MIXTECA</t>
  </si>
  <si>
    <t>CONSTRUCCIÓN DE TECHADO EN ÁREAS DE USO MÚLTIPLE EN CECYTE EMSAD NUM. 13 CON CLAVE ESCOLAR: 20EMS0013P, EN LA LOCALIDAD SAN BALTAZAR LOXICHA, MUNICIPIO SAN BALTAZAR LOXICHA</t>
  </si>
  <si>
    <t>113 - SAN BALTAZAR LOXICHA</t>
  </si>
  <si>
    <t>0001 - San Baltazar Loxicha</t>
  </si>
  <si>
    <t>SEGUNDA ETAPA DE LA UNIDAD ACADÉMICA DEPARTAMENTAL TIPO II EDIFICIO “B” Y REHABILITACIÓN DE LA UNIDAD ACADÉMICA DEPARTAMENTAL TIPO III EDIFICIO “A”</t>
  </si>
  <si>
    <t>902 - INVERSIÓN CONCERTADA</t>
  </si>
  <si>
    <t>902407 - SANTA MARÍA CHIMALAPA</t>
  </si>
  <si>
    <t>REHABILITACIÓN DE LA LÍNEA DE DISTRIBUCIÓN DE ENERGÍA ELÉCTRICA EN LA LOCALIDAD DE SANTA MARÍA CHIMALAPA, MUNICIPIO SANTA MARÍA CHIMALAPA</t>
  </si>
  <si>
    <t>0001 - Santa María Chimalapa</t>
  </si>
  <si>
    <t>902471 - SANTIAGO LALOPA</t>
  </si>
  <si>
    <t>CONSTRUCCIÓN DE MURO DE CONTENCIÓN EN LA CALLE 16 DE SEPTIEMBRE, EN LA LOCALIDAD DE SANTIAGO LALOPA, MUNICIPIO DE SANTIAGO LALOPA</t>
  </si>
  <si>
    <t>471 - SANTIAGO LALOPA</t>
  </si>
  <si>
    <t>0001 - Santiago Lalopa</t>
  </si>
  <si>
    <t>Notas:</t>
  </si>
  <si>
    <t>El presente reporte solamente incluye aquellas actividades que tengan presupuesto asignado</t>
  </si>
  <si>
    <t>La información que se presenta corresponde a los registros en el Sistema de Inversión (SI) realizados por las Unidades responsables</t>
  </si>
  <si>
    <t>La validez, veracidad y exactitud de la información es responsabilidad de cada unidad responsable.</t>
  </si>
  <si>
    <t>Area responsable de integrar la información</t>
  </si>
  <si>
    <t>Subsecretaria de Planeación e Inversión Pública/Dirección de Seguimiento a la Inversión/Coordinación de Análisis y Evaluación</t>
  </si>
  <si>
    <t>Fuente de Información:</t>
  </si>
  <si>
    <t>Sistema Estatal de  Finanzas Publicas de Oaxaca - Modulo de Planeación y Programación de la Inversión Pública</t>
  </si>
  <si>
    <t>3 - ISTMO</t>
  </si>
  <si>
    <t>4 - MIXTECA</t>
  </si>
  <si>
    <t>5 - CUENCA DEL PAPALOAPAN</t>
  </si>
  <si>
    <t>6 - SIERRA DE JUÁREZ</t>
  </si>
  <si>
    <t>7 - SIERRA SUR</t>
  </si>
  <si>
    <t>8 - VALLES CENTRALES</t>
  </si>
  <si>
    <t>9 - COBERTURA ESTATAL</t>
  </si>
  <si>
    <t>TOTAL</t>
  </si>
  <si>
    <t>OBRAS AUTORIZADAS</t>
  </si>
  <si>
    <t>1 - SIERRA DE FLORES MAGÓN</t>
  </si>
  <si>
    <t>2 - COSTA</t>
  </si>
  <si>
    <t>SECRETARÍA DE FINANZAS DEL PODER EJECUTIVO
SUBSECRETARÍA DE PLANEACIÓN E INVERSIÓN PÚBLICA
DIRECCIÓN DE SEGUIMIENTO A LA INVERSIÓN PÚBLICA
GEORREFERENCIAS DE LA INVERSIÓN PÚBLICA EJERCICIO 2025
PERIODO 2do. TRIMESTRE</t>
  </si>
  <si>
    <t>REGIÓN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</si>
</sst>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i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0CC5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3D3D3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24225" cy="6667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11</xdr:col>
      <xdr:colOff>0</xdr:colOff>
      <xdr:row>0</xdr:row>
      <xdr:rowOff>0</xdr:rowOff>
    </xdr:from>
    <xdr:ext cx="2990850" cy="7143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1</xdr:row>
      <xdr:rowOff>0</xdr:rowOff>
    </xdr:from>
    <xdr:ext cx="7200900" cy="48101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85750" cy="28575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85750" cy="285750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85750" cy="285750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85750" cy="285750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85750" cy="285750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85750" cy="285750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85750" cy="285750"/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285750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28625" cy="285750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28625" cy="285750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76725" cy="857250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762000</xdr:colOff>
      <xdr:row>0</xdr:row>
      <xdr:rowOff>0</xdr:rowOff>
    </xdr:from>
    <xdr:ext cx="3914775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maps.google.com/?q=17.022388,-96.715992" TargetMode="External"/><Relationship Id="rId3182" Type="http://schemas.openxmlformats.org/officeDocument/2006/relationships/hyperlink" Target="https://maps.google.com/?q=16.784402919026,-96.566368564984" TargetMode="External"/><Relationship Id="rId3042" Type="http://schemas.openxmlformats.org/officeDocument/2006/relationships/hyperlink" Target="https://maps.google.com/?q=17.66461,-97.57536" TargetMode="External"/><Relationship Id="rId3999" Type="http://schemas.openxmlformats.org/officeDocument/2006/relationships/hyperlink" Target="https://maps.google.com/?q=16.90083398,-94.69243815" TargetMode="External"/><Relationship Id="rId170" Type="http://schemas.openxmlformats.org/officeDocument/2006/relationships/hyperlink" Target="https://maps.google.com/?q=17.271619,-97.67214" TargetMode="External"/><Relationship Id="rId3859" Type="http://schemas.openxmlformats.org/officeDocument/2006/relationships/hyperlink" Target="https://maps.google.com/?q=17.0604718918,-96.70549949" TargetMode="External"/><Relationship Id="rId987" Type="http://schemas.openxmlformats.org/officeDocument/2006/relationships/hyperlink" Target="https://maps.google.com/?q=17.461988,-97.348685" TargetMode="External"/><Relationship Id="rId2668" Type="http://schemas.openxmlformats.org/officeDocument/2006/relationships/hyperlink" Target="https://maps.google.com/?q=17.061746283619,-96.711536755189" TargetMode="External"/><Relationship Id="rId2875" Type="http://schemas.openxmlformats.org/officeDocument/2006/relationships/hyperlink" Target="https://maps.google.com/?q=17.056007454807,-96.827112529633" TargetMode="External"/><Relationship Id="rId3719" Type="http://schemas.openxmlformats.org/officeDocument/2006/relationships/hyperlink" Target="https://maps.google.com/?q=16.2078841,-97.528018" TargetMode="External"/><Relationship Id="rId3926" Type="http://schemas.openxmlformats.org/officeDocument/2006/relationships/hyperlink" Target="https://maps.google.com/?q=16.8662477,-94.72653366" TargetMode="External"/><Relationship Id="rId847" Type="http://schemas.openxmlformats.org/officeDocument/2006/relationships/hyperlink" Target="https://maps.google.com/?q=17.085770380461,-96.696764299807" TargetMode="External"/><Relationship Id="rId1477" Type="http://schemas.openxmlformats.org/officeDocument/2006/relationships/hyperlink" Target="https://maps.google.com/?q=17.724615,-97.323898" TargetMode="External"/><Relationship Id="rId1684" Type="http://schemas.openxmlformats.org/officeDocument/2006/relationships/hyperlink" Target="https://maps.google.com/?q=16.523592,-96.97824" TargetMode="External"/><Relationship Id="rId1891" Type="http://schemas.openxmlformats.org/officeDocument/2006/relationships/hyperlink" Target="https://maps.google.com/?q=16.778253,-96.032585" TargetMode="External"/><Relationship Id="rId2528" Type="http://schemas.openxmlformats.org/officeDocument/2006/relationships/hyperlink" Target="https://maps.google.com/?q=16.271187,-96.309773" TargetMode="External"/><Relationship Id="rId2735" Type="http://schemas.openxmlformats.org/officeDocument/2006/relationships/hyperlink" Target="https://maps.google.com/?q=17.050591666667,-96.723063888889" TargetMode="External"/><Relationship Id="rId2942" Type="http://schemas.openxmlformats.org/officeDocument/2006/relationships/hyperlink" Target="https://maps.google.com/?q=16.227199,-97.941008" TargetMode="External"/><Relationship Id="rId707" Type="http://schemas.openxmlformats.org/officeDocument/2006/relationships/hyperlink" Target="https://maps.google.com/?q=17.053418378373,-96.716358332946" TargetMode="External"/><Relationship Id="rId914" Type="http://schemas.openxmlformats.org/officeDocument/2006/relationships/hyperlink" Target="https://maps.google.com/?q=17.438041,-96.513793" TargetMode="External"/><Relationship Id="rId1337" Type="http://schemas.openxmlformats.org/officeDocument/2006/relationships/hyperlink" Target="https://maps.google.com/?q=17.889925976936,-97.818887267529" TargetMode="External"/><Relationship Id="rId1544" Type="http://schemas.openxmlformats.org/officeDocument/2006/relationships/hyperlink" Target="https://maps.google.com/?q=17.423099,-97.316697" TargetMode="External"/><Relationship Id="rId1751" Type="http://schemas.openxmlformats.org/officeDocument/2006/relationships/hyperlink" Target="https://maps.google.com/?q=16.802734,-96.452859" TargetMode="External"/><Relationship Id="rId2802" Type="http://schemas.openxmlformats.org/officeDocument/2006/relationships/hyperlink" Target="https://maps.google.com/?q=17.793077,-96.818009" TargetMode="External"/><Relationship Id="rId43" Type="http://schemas.openxmlformats.org/officeDocument/2006/relationships/hyperlink" Target="https://maps.google.com/?q=17.078218431027,-96.711311178989" TargetMode="External"/><Relationship Id="rId1404" Type="http://schemas.openxmlformats.org/officeDocument/2006/relationships/hyperlink" Target="https://maps.google.com/?q=17.068623,-96.730973" TargetMode="External"/><Relationship Id="rId1611" Type="http://schemas.openxmlformats.org/officeDocument/2006/relationships/hyperlink" Target="https://maps.google.com/?q=16.412068,-97.867067" TargetMode="External"/><Relationship Id="rId3369" Type="http://schemas.openxmlformats.org/officeDocument/2006/relationships/hyperlink" Target="https://maps.google.com/?q=16.78599292151,-96.560810572879" TargetMode="External"/><Relationship Id="rId3576" Type="http://schemas.openxmlformats.org/officeDocument/2006/relationships/hyperlink" Target="https://maps.google.com/?q=16.2046811,-97.5275621" TargetMode="External"/><Relationship Id="rId497" Type="http://schemas.openxmlformats.org/officeDocument/2006/relationships/hyperlink" Target="https://maps.google.com/?q=17.528796906434,-97.79137956316" TargetMode="External"/><Relationship Id="rId2178" Type="http://schemas.openxmlformats.org/officeDocument/2006/relationships/hyperlink" Target="https://maps.google.com/?q=17.05060407,-96.63687347" TargetMode="External"/><Relationship Id="rId2385" Type="http://schemas.openxmlformats.org/officeDocument/2006/relationships/hyperlink" Target="https://maps.google.com/?q=16.247362,-96.346033" TargetMode="External"/><Relationship Id="rId3229" Type="http://schemas.openxmlformats.org/officeDocument/2006/relationships/hyperlink" Target="https://maps.google.com/?q=16.785130924738,-96.569777567215" TargetMode="External"/><Relationship Id="rId3783" Type="http://schemas.openxmlformats.org/officeDocument/2006/relationships/hyperlink" Target="https://maps.google.com/?q=16.2090461,-97.528518" TargetMode="External"/><Relationship Id="rId3990" Type="http://schemas.openxmlformats.org/officeDocument/2006/relationships/hyperlink" Target="https://maps.google.com/?q=16.89936154,-94.69565388" TargetMode="External"/><Relationship Id="rId357" Type="http://schemas.openxmlformats.org/officeDocument/2006/relationships/hyperlink" Target="https://maps.google.com/?q=17.020329753319,-97.664932736722" TargetMode="External"/><Relationship Id="rId1194" Type="http://schemas.openxmlformats.org/officeDocument/2006/relationships/hyperlink" Target="https://maps.google.com/?q=16.681967610978,-96.63869146627" TargetMode="External"/><Relationship Id="rId2038" Type="http://schemas.openxmlformats.org/officeDocument/2006/relationships/hyperlink" Target="https://maps.google.com/?q=16.783671,-96.031361" TargetMode="External"/><Relationship Id="rId2592" Type="http://schemas.openxmlformats.org/officeDocument/2006/relationships/hyperlink" Target="https://maps.google.com/?q=17.091081023808,-96.736508045559" TargetMode="External"/><Relationship Id="rId3436" Type="http://schemas.openxmlformats.org/officeDocument/2006/relationships/hyperlink" Target="https://maps.google.com/?q=16.787518922853,-96.555946576117" TargetMode="External"/><Relationship Id="rId3643" Type="http://schemas.openxmlformats.org/officeDocument/2006/relationships/hyperlink" Target="https://maps.google.com/?q=16.2059131,-97.528119" TargetMode="External"/><Relationship Id="rId3850" Type="http://schemas.openxmlformats.org/officeDocument/2006/relationships/hyperlink" Target="https://maps.google.com/?q=17.025015443234,-96.710458127438" TargetMode="External"/><Relationship Id="rId217" Type="http://schemas.openxmlformats.org/officeDocument/2006/relationships/hyperlink" Target="https://maps.google.com/?q=15.908645051131,-96.219862519622" TargetMode="External"/><Relationship Id="rId564" Type="http://schemas.openxmlformats.org/officeDocument/2006/relationships/hyperlink" Target="https://maps.google.com/?q=17.036843829861,-96.706439447588" TargetMode="External"/><Relationship Id="rId771" Type="http://schemas.openxmlformats.org/officeDocument/2006/relationships/hyperlink" Target="https://maps.google.com/?q=17.073235914243,-96.739172147299" TargetMode="External"/><Relationship Id="rId2245" Type="http://schemas.openxmlformats.org/officeDocument/2006/relationships/hyperlink" Target="https://maps.google.com/?q=17.34926635,-96.52940982" TargetMode="External"/><Relationship Id="rId2452" Type="http://schemas.openxmlformats.org/officeDocument/2006/relationships/hyperlink" Target="https://maps.google.com/?q=16.25387,-96.338123" TargetMode="External"/><Relationship Id="rId3503" Type="http://schemas.openxmlformats.org/officeDocument/2006/relationships/hyperlink" Target="https://maps.google.com/?q=16.790151929689,-96.55174957384" TargetMode="External"/><Relationship Id="rId3710" Type="http://schemas.openxmlformats.org/officeDocument/2006/relationships/hyperlink" Target="https://maps.google.com/?q=16.2077391,-97.527593" TargetMode="External"/><Relationship Id="rId424" Type="http://schemas.openxmlformats.org/officeDocument/2006/relationships/hyperlink" Target="https://maps.google.com/?q=17.50288188575,-97.732051928895" TargetMode="External"/><Relationship Id="rId631" Type="http://schemas.openxmlformats.org/officeDocument/2006/relationships/hyperlink" Target="https://maps.google.com/?q=17.048641688488,-96.72661723068" TargetMode="External"/><Relationship Id="rId1054" Type="http://schemas.openxmlformats.org/officeDocument/2006/relationships/hyperlink" Target="https://maps.google.com/?q=17.724615,-97.323898" TargetMode="External"/><Relationship Id="rId1261" Type="http://schemas.openxmlformats.org/officeDocument/2006/relationships/hyperlink" Target="https://maps.google.com/?q=17.09986156357,-97.759408398811" TargetMode="External"/><Relationship Id="rId2105" Type="http://schemas.openxmlformats.org/officeDocument/2006/relationships/hyperlink" Target="https://maps.google.com/?q=16.928743433534,-96.601826204765" TargetMode="External"/><Relationship Id="rId2312" Type="http://schemas.openxmlformats.org/officeDocument/2006/relationships/hyperlink" Target="https://maps.google.com/?q=17.3664606,-96.50951167" TargetMode="External"/><Relationship Id="rId1121" Type="http://schemas.openxmlformats.org/officeDocument/2006/relationships/hyperlink" Target="https://maps.google.com/?q=17.126349585836,-96.767935762613" TargetMode="External"/><Relationship Id="rId3086" Type="http://schemas.openxmlformats.org/officeDocument/2006/relationships/hyperlink" Target="https://maps.google.com/?q=17.969907,-96.69171" TargetMode="External"/><Relationship Id="rId3293" Type="http://schemas.openxmlformats.org/officeDocument/2006/relationships/hyperlink" Target="https://maps.google.com/?q=16.785644923065,-96.565129570722" TargetMode="External"/><Relationship Id="rId1938" Type="http://schemas.openxmlformats.org/officeDocument/2006/relationships/hyperlink" Target="https://maps.google.com/?q=16.780225,-96.03527" TargetMode="External"/><Relationship Id="rId3153" Type="http://schemas.openxmlformats.org/officeDocument/2006/relationships/hyperlink" Target="https://maps.google.com/?q=16.783235921781,-96.567603568495" TargetMode="External"/><Relationship Id="rId3360" Type="http://schemas.openxmlformats.org/officeDocument/2006/relationships/hyperlink" Target="https://maps.google.com/?q=16.785937924389,-96.561331565267" TargetMode="External"/><Relationship Id="rId281" Type="http://schemas.openxmlformats.org/officeDocument/2006/relationships/hyperlink" Target="https://maps.google.com/?q=17.063778,-96.729971" TargetMode="External"/><Relationship Id="rId3013" Type="http://schemas.openxmlformats.org/officeDocument/2006/relationships/hyperlink" Target="https://maps.google.com/?q=17.964007869691,-96.12625335839" TargetMode="External"/><Relationship Id="rId141" Type="http://schemas.openxmlformats.org/officeDocument/2006/relationships/hyperlink" Target="https://maps.google.com/?q=17.268971,-97.673467" TargetMode="External"/><Relationship Id="rId3220" Type="http://schemas.openxmlformats.org/officeDocument/2006/relationships/hyperlink" Target="https://maps.google.com/?q=16.785023924894,-96.569658565851" TargetMode="External"/><Relationship Id="rId7" Type="http://schemas.openxmlformats.org/officeDocument/2006/relationships/hyperlink" Target="https://maps.google.com/?q=17.12014165282,-97.785877264801" TargetMode="External"/><Relationship Id="rId2779" Type="http://schemas.openxmlformats.org/officeDocument/2006/relationships/hyperlink" Target="https://maps.google.com/?q=17.788357,-96.811899" TargetMode="External"/><Relationship Id="rId2986" Type="http://schemas.openxmlformats.org/officeDocument/2006/relationships/hyperlink" Target="https://maps.google.com/?q=17.55500506779,-97.812269799097" TargetMode="External"/><Relationship Id="rId958" Type="http://schemas.openxmlformats.org/officeDocument/2006/relationships/hyperlink" Target="https://maps.google.com/?q=16.338617477047,-97.835412424879" TargetMode="External"/><Relationship Id="rId1588" Type="http://schemas.openxmlformats.org/officeDocument/2006/relationships/hyperlink" Target="https://maps.google.com/?q=17.02720335,-96.71194502" TargetMode="External"/><Relationship Id="rId1795" Type="http://schemas.openxmlformats.org/officeDocument/2006/relationships/hyperlink" Target="https://maps.google.com/?q=17.98807,-96.83264" TargetMode="External"/><Relationship Id="rId2639" Type="http://schemas.openxmlformats.org/officeDocument/2006/relationships/hyperlink" Target="https://maps.google.com/?q=16.687772,-97.008809" TargetMode="External"/><Relationship Id="rId2846" Type="http://schemas.openxmlformats.org/officeDocument/2006/relationships/hyperlink" Target="https://maps.google.com/?q=17.287095871269,-97.365984211324" TargetMode="External"/><Relationship Id="rId87" Type="http://schemas.openxmlformats.org/officeDocument/2006/relationships/hyperlink" Target="https://maps.google.com/?q=17.052487811179,-96.753534643442" TargetMode="External"/><Relationship Id="rId818" Type="http://schemas.openxmlformats.org/officeDocument/2006/relationships/hyperlink" Target="https://maps.google.com/?q=17.083742237866,-96.694874706679" TargetMode="External"/><Relationship Id="rId1448" Type="http://schemas.openxmlformats.org/officeDocument/2006/relationships/hyperlink" Target="https://maps.google.com/?q=17.335316,-98.012051" TargetMode="External"/><Relationship Id="rId1655" Type="http://schemas.openxmlformats.org/officeDocument/2006/relationships/hyperlink" Target="https://maps.google.com/?q=16.516837,-96.977334" TargetMode="External"/><Relationship Id="rId2706" Type="http://schemas.openxmlformats.org/officeDocument/2006/relationships/hyperlink" Target="https://maps.google.com/?q=17.076447139519,-96.715955667836" TargetMode="External"/><Relationship Id="rId1308" Type="http://schemas.openxmlformats.org/officeDocument/2006/relationships/hyperlink" Target="https://maps.google.com/?q=15.946754673066,-96.552182933868" TargetMode="External"/><Relationship Id="rId1862" Type="http://schemas.openxmlformats.org/officeDocument/2006/relationships/hyperlink" Target="https://maps.google.com/?q=16.070329968498,-96.304975877749" TargetMode="External"/><Relationship Id="rId2913" Type="http://schemas.openxmlformats.org/officeDocument/2006/relationships/hyperlink" Target="https://maps.google.com/?q=16.617881,-97.933047" TargetMode="External"/><Relationship Id="rId1515" Type="http://schemas.openxmlformats.org/officeDocument/2006/relationships/hyperlink" Target="https://maps.google.com/?q=16.791625,-96.674999" TargetMode="External"/><Relationship Id="rId1722" Type="http://schemas.openxmlformats.org/officeDocument/2006/relationships/hyperlink" Target="https://maps.google.com/?q=16.796219,-96.462079" TargetMode="External"/><Relationship Id="rId14" Type="http://schemas.openxmlformats.org/officeDocument/2006/relationships/hyperlink" Target="https://maps.google.com/?q=16.279058,-97.820241" TargetMode="External"/><Relationship Id="rId3687" Type="http://schemas.openxmlformats.org/officeDocument/2006/relationships/hyperlink" Target="https://maps.google.com/?q=16.2071451,-97.531188" TargetMode="External"/><Relationship Id="rId3894" Type="http://schemas.openxmlformats.org/officeDocument/2006/relationships/hyperlink" Target="https://maps.google.com/?q=16.85879852,-94.73869348" TargetMode="External"/><Relationship Id="rId2289" Type="http://schemas.openxmlformats.org/officeDocument/2006/relationships/hyperlink" Target="https://maps.google.com/?q=17.35523452,-96.53142724" TargetMode="External"/><Relationship Id="rId2496" Type="http://schemas.openxmlformats.org/officeDocument/2006/relationships/hyperlink" Target="https://maps.google.com/?q=16.261149,-96.312703" TargetMode="External"/><Relationship Id="rId3547" Type="http://schemas.openxmlformats.org/officeDocument/2006/relationships/hyperlink" Target="https://maps.google.com/?q=16.791138923057,-96.551921573537" TargetMode="External"/><Relationship Id="rId3754" Type="http://schemas.openxmlformats.org/officeDocument/2006/relationships/hyperlink" Target="https://maps.google.com/?q=16.2085181,-97.528651" TargetMode="External"/><Relationship Id="rId3961" Type="http://schemas.openxmlformats.org/officeDocument/2006/relationships/hyperlink" Target="https://maps.google.com/?q=16.88909383,-94.70682498" TargetMode="External"/><Relationship Id="rId468" Type="http://schemas.openxmlformats.org/officeDocument/2006/relationships/hyperlink" Target="https://maps.google.com/?q=17.490368492119,-97.719018008137" TargetMode="External"/><Relationship Id="rId675" Type="http://schemas.openxmlformats.org/officeDocument/2006/relationships/hyperlink" Target="https://maps.google.com/?q=17.051088360042,-96.725619891233" TargetMode="External"/><Relationship Id="rId882" Type="http://schemas.openxmlformats.org/officeDocument/2006/relationships/hyperlink" Target="https://maps.google.com/?q=17.120884522263,-96.755134408045" TargetMode="External"/><Relationship Id="rId1098" Type="http://schemas.openxmlformats.org/officeDocument/2006/relationships/hyperlink" Target="https://maps.google.com/?q=17.071544120503,-96.715912270785" TargetMode="External"/><Relationship Id="rId2149" Type="http://schemas.openxmlformats.org/officeDocument/2006/relationships/hyperlink" Target="https://maps.google.com/?q=16.879166417079,-97.505303986015" TargetMode="External"/><Relationship Id="rId2356" Type="http://schemas.openxmlformats.org/officeDocument/2006/relationships/hyperlink" Target="https://maps.google.com/?q=17.37977906,-96.50485404" TargetMode="External"/><Relationship Id="rId2563" Type="http://schemas.openxmlformats.org/officeDocument/2006/relationships/hyperlink" Target="https://maps.google.com/?q=17.08824138725,-96.737741138" TargetMode="External"/><Relationship Id="rId2770" Type="http://schemas.openxmlformats.org/officeDocument/2006/relationships/hyperlink" Target="https://maps.google.com/?q=17.787412,-96.805772" TargetMode="External"/><Relationship Id="rId3407" Type="http://schemas.openxmlformats.org/officeDocument/2006/relationships/hyperlink" Target="https://maps.google.com/?q=16.78633292414,-96.560024565977" TargetMode="External"/><Relationship Id="rId3614" Type="http://schemas.openxmlformats.org/officeDocument/2006/relationships/hyperlink" Target="https://maps.google.com/?q=16.2054181,-97.529318" TargetMode="External"/><Relationship Id="rId3821" Type="http://schemas.openxmlformats.org/officeDocument/2006/relationships/hyperlink" Target="https://maps.google.com/?q=16.2130391,-97.529864" TargetMode="External"/><Relationship Id="rId328" Type="http://schemas.openxmlformats.org/officeDocument/2006/relationships/hyperlink" Target="https://maps.google.com/?q=17.026523086987,-97.664542025527" TargetMode="External"/><Relationship Id="rId535" Type="http://schemas.openxmlformats.org/officeDocument/2006/relationships/hyperlink" Target="https://maps.google.com/?q=17.071544120503,-96.715912270785" TargetMode="External"/><Relationship Id="rId742" Type="http://schemas.openxmlformats.org/officeDocument/2006/relationships/hyperlink" Target="https://maps.google.com/?q=17.060857846585,-96.706967063773" TargetMode="External"/><Relationship Id="rId1165" Type="http://schemas.openxmlformats.org/officeDocument/2006/relationships/hyperlink" Target="https://maps.google.com/?q=16.470228921522,-96.701511431877" TargetMode="External"/><Relationship Id="rId1372" Type="http://schemas.openxmlformats.org/officeDocument/2006/relationships/hyperlink" Target="https://maps.google.com/?q=16.323662218815,-96.412596972765" TargetMode="External"/><Relationship Id="rId2009" Type="http://schemas.openxmlformats.org/officeDocument/2006/relationships/hyperlink" Target="https://maps.google.com/?q=16.783005,-96.031721" TargetMode="External"/><Relationship Id="rId2216" Type="http://schemas.openxmlformats.org/officeDocument/2006/relationships/hyperlink" Target="https://maps.google.com/?q=16.64422588145,-96.571461438898" TargetMode="External"/><Relationship Id="rId2423" Type="http://schemas.openxmlformats.org/officeDocument/2006/relationships/hyperlink" Target="https://maps.google.com/?q=16.250451,-96.343596" TargetMode="External"/><Relationship Id="rId2630" Type="http://schemas.openxmlformats.org/officeDocument/2006/relationships/hyperlink" Target="https://maps.google.com/?q=17.04238914974,-96.72114961264" TargetMode="External"/><Relationship Id="rId602" Type="http://schemas.openxmlformats.org/officeDocument/2006/relationships/hyperlink" Target="https://maps.google.com/?q=17.046317353801,-96.720396235636" TargetMode="External"/><Relationship Id="rId1025" Type="http://schemas.openxmlformats.org/officeDocument/2006/relationships/hyperlink" Target="https://maps.google.com/?q=17.126462,-96.767566" TargetMode="External"/><Relationship Id="rId1232" Type="http://schemas.openxmlformats.org/officeDocument/2006/relationships/hyperlink" Target="https://maps.google.com/?q=15.750815754293,-96.468728067459" TargetMode="External"/><Relationship Id="rId3197" Type="http://schemas.openxmlformats.org/officeDocument/2006/relationships/hyperlink" Target="https://maps.google.com/?q=16.784732924816,-96.574736566706" TargetMode="External"/><Relationship Id="rId3057" Type="http://schemas.openxmlformats.org/officeDocument/2006/relationships/hyperlink" Target="https://maps.google.com/?q=17.44332,-96.62206" TargetMode="External"/><Relationship Id="rId185" Type="http://schemas.openxmlformats.org/officeDocument/2006/relationships/hyperlink" Target="https://maps.google.com/?q=17.276977194059,-97.67104442576" TargetMode="External"/><Relationship Id="rId1909" Type="http://schemas.openxmlformats.org/officeDocument/2006/relationships/hyperlink" Target="https://maps.google.com/?q=16.779024,-96.038164" TargetMode="External"/><Relationship Id="rId3264" Type="http://schemas.openxmlformats.org/officeDocument/2006/relationships/hyperlink" Target="https://maps.google.com/?q=16.785416922498,-96.573019568928" TargetMode="External"/><Relationship Id="rId3471" Type="http://schemas.openxmlformats.org/officeDocument/2006/relationships/hyperlink" Target="https://maps.google.com/?q=16.788998930604,-96.551375574597" TargetMode="External"/><Relationship Id="rId392" Type="http://schemas.openxmlformats.org/officeDocument/2006/relationships/hyperlink" Target="https://maps.google.com/?q=17.519651926707,-97.740435408895" TargetMode="External"/><Relationship Id="rId2073" Type="http://schemas.openxmlformats.org/officeDocument/2006/relationships/hyperlink" Target="https://maps.google.com/?q=16.785357,-96.031139" TargetMode="External"/><Relationship Id="rId2280" Type="http://schemas.openxmlformats.org/officeDocument/2006/relationships/hyperlink" Target="https://maps.google.com/?q=17.35390426,-96.52757008" TargetMode="External"/><Relationship Id="rId3124" Type="http://schemas.openxmlformats.org/officeDocument/2006/relationships/hyperlink" Target="https://maps.google.com/?q=17.97669,-96.703845" TargetMode="External"/><Relationship Id="rId3331" Type="http://schemas.openxmlformats.org/officeDocument/2006/relationships/hyperlink" Target="https://maps.google.com/?q=16.785866917904,-96.573793560349" TargetMode="External"/><Relationship Id="rId252" Type="http://schemas.openxmlformats.org/officeDocument/2006/relationships/hyperlink" Target="https://maps.google.com/?q=16.279058,-97.820241" TargetMode="External"/><Relationship Id="rId2140" Type="http://schemas.openxmlformats.org/officeDocument/2006/relationships/hyperlink" Target="https://maps.google.com/?q=16.877921592259,-97.506489723481" TargetMode="External"/><Relationship Id="rId112" Type="http://schemas.openxmlformats.org/officeDocument/2006/relationships/hyperlink" Target="https://maps.google.com/?q=16.542082658824,-98.069328173342" TargetMode="External"/><Relationship Id="rId1699" Type="http://schemas.openxmlformats.org/officeDocument/2006/relationships/hyperlink" Target="https://maps.google.com/?q=16.524743,-96.97701" TargetMode="External"/><Relationship Id="rId2000" Type="http://schemas.openxmlformats.org/officeDocument/2006/relationships/hyperlink" Target="https://maps.google.com/?q=16.782697,-96.032358" TargetMode="External"/><Relationship Id="rId2957" Type="http://schemas.openxmlformats.org/officeDocument/2006/relationships/hyperlink" Target="https://maps.google.com/?q=17.649373182391,-96.915737713878" TargetMode="External"/><Relationship Id="rId929" Type="http://schemas.openxmlformats.org/officeDocument/2006/relationships/hyperlink" Target="https://maps.google.com/?q=17.061695,-96.725808" TargetMode="External"/><Relationship Id="rId1559" Type="http://schemas.openxmlformats.org/officeDocument/2006/relationships/hyperlink" Target="https://maps.google.com/?q=16.336839,-95.23149" TargetMode="External"/><Relationship Id="rId1766" Type="http://schemas.openxmlformats.org/officeDocument/2006/relationships/hyperlink" Target="https://maps.google.com/?q=17.02604159,-96.712951127" TargetMode="External"/><Relationship Id="rId1973" Type="http://schemas.openxmlformats.org/officeDocument/2006/relationships/hyperlink" Target="https://maps.google.com/?q=16.781427,-96.0327" TargetMode="External"/><Relationship Id="rId2817" Type="http://schemas.openxmlformats.org/officeDocument/2006/relationships/hyperlink" Target="https://maps.google.com/?q=17.279025833444,-97.369276622887" TargetMode="External"/><Relationship Id="rId58" Type="http://schemas.openxmlformats.org/officeDocument/2006/relationships/hyperlink" Target="https://maps.google.com/?q=17.125,-96.775" TargetMode="External"/><Relationship Id="rId1419" Type="http://schemas.openxmlformats.org/officeDocument/2006/relationships/hyperlink" Target="https://maps.google.com/?q=16.564244,-96.731829" TargetMode="External"/><Relationship Id="rId1626" Type="http://schemas.openxmlformats.org/officeDocument/2006/relationships/hyperlink" Target="https://maps.google.com/?q=18.24835,-96.290406" TargetMode="External"/><Relationship Id="rId1833" Type="http://schemas.openxmlformats.org/officeDocument/2006/relationships/hyperlink" Target="https://maps.google.com/?q=17.929134133936,-97.673924463431" TargetMode="External"/><Relationship Id="rId1900" Type="http://schemas.openxmlformats.org/officeDocument/2006/relationships/hyperlink" Target="https://maps.google.com/?q=16.778686,-96.033491" TargetMode="External"/><Relationship Id="rId3798" Type="http://schemas.openxmlformats.org/officeDocument/2006/relationships/hyperlink" Target="https://maps.google.com/?q=16.2095841,-97.527578" TargetMode="External"/><Relationship Id="rId3658" Type="http://schemas.openxmlformats.org/officeDocument/2006/relationships/hyperlink" Target="https://maps.google.com/?q=16.2063541,-97.527727" TargetMode="External"/><Relationship Id="rId3865" Type="http://schemas.openxmlformats.org/officeDocument/2006/relationships/hyperlink" Target="https://maps.google.com/?q=17.033483324362,-96.728263702473" TargetMode="External"/><Relationship Id="rId579" Type="http://schemas.openxmlformats.org/officeDocument/2006/relationships/hyperlink" Target="https://maps.google.com/?q=17.043901578676,-96.720827401804" TargetMode="External"/><Relationship Id="rId786" Type="http://schemas.openxmlformats.org/officeDocument/2006/relationships/hyperlink" Target="https://maps.google.com/?q=17.081833506053,-96.696677058928" TargetMode="External"/><Relationship Id="rId993" Type="http://schemas.openxmlformats.org/officeDocument/2006/relationships/hyperlink" Target="https://maps.google.com/?q=17.463705,-97.343284" TargetMode="External"/><Relationship Id="rId2467" Type="http://schemas.openxmlformats.org/officeDocument/2006/relationships/hyperlink" Target="https://maps.google.com/?q=16.255015,-96.324612" TargetMode="External"/><Relationship Id="rId2674" Type="http://schemas.openxmlformats.org/officeDocument/2006/relationships/hyperlink" Target="https://maps.google.com/?q=17.063020643656,-96.714083274275" TargetMode="External"/><Relationship Id="rId3518" Type="http://schemas.openxmlformats.org/officeDocument/2006/relationships/hyperlink" Target="https://maps.google.com/?q=16.790680924763,-96.554222577519" TargetMode="External"/><Relationship Id="rId439" Type="http://schemas.openxmlformats.org/officeDocument/2006/relationships/hyperlink" Target="https://maps.google.com/?q=17.508544919346,-97.71233733148" TargetMode="External"/><Relationship Id="rId646" Type="http://schemas.openxmlformats.org/officeDocument/2006/relationships/hyperlink" Target="https://maps.google.com/?q=17.049767000071,-96.716738552811" TargetMode="External"/><Relationship Id="rId1069" Type="http://schemas.openxmlformats.org/officeDocument/2006/relationships/hyperlink" Target="https://maps.google.com/?q=17.086523,-96.745189" TargetMode="External"/><Relationship Id="rId1276" Type="http://schemas.openxmlformats.org/officeDocument/2006/relationships/hyperlink" Target="https://maps.google.com/?q=16.524017435831,-97.385081981476" TargetMode="External"/><Relationship Id="rId1483" Type="http://schemas.openxmlformats.org/officeDocument/2006/relationships/hyperlink" Target="https://maps.google.com/?q=16.85873,-96.694992" TargetMode="External"/><Relationship Id="rId2327" Type="http://schemas.openxmlformats.org/officeDocument/2006/relationships/hyperlink" Target="https://maps.google.com/?q=17.37336351,-96.50752768" TargetMode="External"/><Relationship Id="rId2881" Type="http://schemas.openxmlformats.org/officeDocument/2006/relationships/hyperlink" Target="https://maps.google.com/?q=17.056650139026,-96.818099199128" TargetMode="External"/><Relationship Id="rId3725" Type="http://schemas.openxmlformats.org/officeDocument/2006/relationships/hyperlink" Target="https://maps.google.com/?q=16.2079901,-97.529604" TargetMode="External"/><Relationship Id="rId3932" Type="http://schemas.openxmlformats.org/officeDocument/2006/relationships/hyperlink" Target="https://maps.google.com/?q=16.87028158,-94.72609168" TargetMode="External"/><Relationship Id="rId506" Type="http://schemas.openxmlformats.org/officeDocument/2006/relationships/hyperlink" Target="https://maps.google.com/?q=17.531801474927,-97.792929883432" TargetMode="External"/><Relationship Id="rId853" Type="http://schemas.openxmlformats.org/officeDocument/2006/relationships/hyperlink" Target="https://maps.google.com/?q=17.086542322869,-96.694122031219" TargetMode="External"/><Relationship Id="rId1136" Type="http://schemas.openxmlformats.org/officeDocument/2006/relationships/hyperlink" Target="https://maps.google.com/?q=16.431678329504,-95.023784023314" TargetMode="External"/><Relationship Id="rId1690" Type="http://schemas.openxmlformats.org/officeDocument/2006/relationships/hyperlink" Target="https://maps.google.com/?q=16.524141,-96.978691" TargetMode="External"/><Relationship Id="rId2534" Type="http://schemas.openxmlformats.org/officeDocument/2006/relationships/hyperlink" Target="https://maps.google.com/?q=16.272222,-96.309106" TargetMode="External"/><Relationship Id="rId2741" Type="http://schemas.openxmlformats.org/officeDocument/2006/relationships/hyperlink" Target="https://maps.google.com/?q=17.750744715864,-97.818521266021" TargetMode="External"/><Relationship Id="rId713" Type="http://schemas.openxmlformats.org/officeDocument/2006/relationships/hyperlink" Target="https://maps.google.com/?q=17.056137245555,-96.708765691759" TargetMode="External"/><Relationship Id="rId920" Type="http://schemas.openxmlformats.org/officeDocument/2006/relationships/hyperlink" Target="https://maps.google.com/?q=16.355008,-96.540837" TargetMode="External"/><Relationship Id="rId1343" Type="http://schemas.openxmlformats.org/officeDocument/2006/relationships/hyperlink" Target="https://maps.google.com/?q=17.576577650899,-98.343880736107" TargetMode="External"/><Relationship Id="rId1550" Type="http://schemas.openxmlformats.org/officeDocument/2006/relationships/hyperlink" Target="https://maps.google.com/?q=17.428438,-97.308991" TargetMode="External"/><Relationship Id="rId2601" Type="http://schemas.openxmlformats.org/officeDocument/2006/relationships/hyperlink" Target="https://maps.google.com/?q=17.0915529799,-96.737424384" TargetMode="External"/><Relationship Id="rId1203" Type="http://schemas.openxmlformats.org/officeDocument/2006/relationships/hyperlink" Target="https://maps.google.com/?q=18.009121160815,-95.927554985285" TargetMode="External"/><Relationship Id="rId1410" Type="http://schemas.openxmlformats.org/officeDocument/2006/relationships/hyperlink" Target="https://maps.google.com/?q=17.051757773831,-96.730943416844" TargetMode="External"/><Relationship Id="rId3168" Type="http://schemas.openxmlformats.org/officeDocument/2006/relationships/hyperlink" Target="https://maps.google.com/?q=16.783735924359,-96.566690569336" TargetMode="External"/><Relationship Id="rId3375" Type="http://schemas.openxmlformats.org/officeDocument/2006/relationships/hyperlink" Target="https://maps.google.com/?q=16.786024919755,-96.577193565349" TargetMode="External"/><Relationship Id="rId3582" Type="http://schemas.openxmlformats.org/officeDocument/2006/relationships/hyperlink" Target="https://maps.google.com/?q=16.2048451,-97.5268691" TargetMode="External"/><Relationship Id="rId296" Type="http://schemas.openxmlformats.org/officeDocument/2006/relationships/hyperlink" Target="https://maps.google.com/?q=16.683552,-95.53455" TargetMode="External"/><Relationship Id="rId2184" Type="http://schemas.openxmlformats.org/officeDocument/2006/relationships/hyperlink" Target="https://maps.google.com/?q=17.05127007,-96.63791936" TargetMode="External"/><Relationship Id="rId2391" Type="http://schemas.openxmlformats.org/officeDocument/2006/relationships/hyperlink" Target="https://maps.google.com/?q=16.248749,-96.339485" TargetMode="External"/><Relationship Id="rId3028" Type="http://schemas.openxmlformats.org/officeDocument/2006/relationships/hyperlink" Target="https://maps.google.com/?q=16.300032,-96.770589" TargetMode="External"/><Relationship Id="rId3235" Type="http://schemas.openxmlformats.org/officeDocument/2006/relationships/hyperlink" Target="https://maps.google.com/?q=16.785190918978,-96.569838570029" TargetMode="External"/><Relationship Id="rId3442" Type="http://schemas.openxmlformats.org/officeDocument/2006/relationships/hyperlink" Target="https://maps.google.com/?q=16.787971926468,-96.555834574427" TargetMode="External"/><Relationship Id="rId156" Type="http://schemas.openxmlformats.org/officeDocument/2006/relationships/hyperlink" Target="https://maps.google.com/?q=17.270768,-97.674611" TargetMode="External"/><Relationship Id="rId363" Type="http://schemas.openxmlformats.org/officeDocument/2006/relationships/hyperlink" Target="https://maps.google.com/?q=17.040781,-96.728071" TargetMode="External"/><Relationship Id="rId570" Type="http://schemas.openxmlformats.org/officeDocument/2006/relationships/hyperlink" Target="https://maps.google.com/?q=17.04261959253,-96.720178664937" TargetMode="External"/><Relationship Id="rId2044" Type="http://schemas.openxmlformats.org/officeDocument/2006/relationships/hyperlink" Target="https://maps.google.com/?q=16.78386,-96.03167" TargetMode="External"/><Relationship Id="rId2251" Type="http://schemas.openxmlformats.org/officeDocument/2006/relationships/hyperlink" Target="https://maps.google.com/?q=17.35025749,-96.52848425" TargetMode="External"/><Relationship Id="rId3302" Type="http://schemas.openxmlformats.org/officeDocument/2006/relationships/hyperlink" Target="https://maps.google.com/?q=16.785688922954,-96.564858568589" TargetMode="External"/><Relationship Id="rId223" Type="http://schemas.openxmlformats.org/officeDocument/2006/relationships/hyperlink" Target="https://maps.google.com/?q=15.909416604353,-96.215260113844" TargetMode="External"/><Relationship Id="rId430" Type="http://schemas.openxmlformats.org/officeDocument/2006/relationships/hyperlink" Target="https://maps.google.com/?q=17.503727293875,-97.710368838207" TargetMode="External"/><Relationship Id="rId1060" Type="http://schemas.openxmlformats.org/officeDocument/2006/relationships/hyperlink" Target="https://maps.google.com/?q=17.068363,-96.736696" TargetMode="External"/><Relationship Id="rId2111" Type="http://schemas.openxmlformats.org/officeDocument/2006/relationships/hyperlink" Target="https://maps.google.com/?q=16.930785008333,-96.601374753333" TargetMode="External"/><Relationship Id="rId1877" Type="http://schemas.openxmlformats.org/officeDocument/2006/relationships/hyperlink" Target="https://maps.google.com/?q=16.071295393946,-96.303599578452" TargetMode="External"/><Relationship Id="rId2928" Type="http://schemas.openxmlformats.org/officeDocument/2006/relationships/hyperlink" Target="https://maps.google.com/?q=16.240011133462,-95.198305889856" TargetMode="External"/><Relationship Id="rId1737" Type="http://schemas.openxmlformats.org/officeDocument/2006/relationships/hyperlink" Target="https://maps.google.com/?q=16.799903,-96.464233" TargetMode="External"/><Relationship Id="rId1944" Type="http://schemas.openxmlformats.org/officeDocument/2006/relationships/hyperlink" Target="https://maps.google.com/?q=16.780494,-96.034061" TargetMode="External"/><Relationship Id="rId3092" Type="http://schemas.openxmlformats.org/officeDocument/2006/relationships/hyperlink" Target="https://maps.google.com/?q=17.970236,-96.691243" TargetMode="External"/><Relationship Id="rId29" Type="http://schemas.openxmlformats.org/officeDocument/2006/relationships/hyperlink" Target="https://maps.google.com/?q=17.267449,-97.680485" TargetMode="External"/><Relationship Id="rId4003" Type="http://schemas.openxmlformats.org/officeDocument/2006/relationships/hyperlink" Target="https://maps.google.com/?q=16.90155144,-94.69200339" TargetMode="External"/><Relationship Id="rId1804" Type="http://schemas.openxmlformats.org/officeDocument/2006/relationships/hyperlink" Target="https://maps.google.com/?q=17.987655,-96.840428" TargetMode="External"/><Relationship Id="rId3769" Type="http://schemas.openxmlformats.org/officeDocument/2006/relationships/hyperlink" Target="https://maps.google.com/?q=16.2088631,-97.5284551" TargetMode="External"/><Relationship Id="rId3976" Type="http://schemas.openxmlformats.org/officeDocument/2006/relationships/hyperlink" Target="https://maps.google.com/?q=16.89521234,-94.6991084" TargetMode="External"/><Relationship Id="rId897" Type="http://schemas.openxmlformats.org/officeDocument/2006/relationships/hyperlink" Target="https://maps.google.com/?q=17.060085837438,-96.725723429958" TargetMode="External"/><Relationship Id="rId2578" Type="http://schemas.openxmlformats.org/officeDocument/2006/relationships/hyperlink" Target="https://maps.google.com/?q=17.08964880699,-96.736992655" TargetMode="External"/><Relationship Id="rId2785" Type="http://schemas.openxmlformats.org/officeDocument/2006/relationships/hyperlink" Target="https://maps.google.com/?q=17.788788,-96.813318" TargetMode="External"/><Relationship Id="rId2992" Type="http://schemas.openxmlformats.org/officeDocument/2006/relationships/hyperlink" Target="https://maps.google.com/?q=15.958341431644,-96.770002493393" TargetMode="External"/><Relationship Id="rId3629" Type="http://schemas.openxmlformats.org/officeDocument/2006/relationships/hyperlink" Target="https://maps.google.com/?q=16.2055573,-97.52687" TargetMode="External"/><Relationship Id="rId3836" Type="http://schemas.openxmlformats.org/officeDocument/2006/relationships/hyperlink" Target="https://maps.google.com/?q=17.235144814894,-96.869440656852" TargetMode="External"/><Relationship Id="rId757" Type="http://schemas.openxmlformats.org/officeDocument/2006/relationships/hyperlink" Target="https://maps.google.com/?q=17.065705972634,-96.723777389791" TargetMode="External"/><Relationship Id="rId964" Type="http://schemas.openxmlformats.org/officeDocument/2006/relationships/hyperlink" Target="https://maps.google.com/?q=16.247691923259,-95.145557791268" TargetMode="External"/><Relationship Id="rId1387" Type="http://schemas.openxmlformats.org/officeDocument/2006/relationships/hyperlink" Target="https://maps.google.com/?q=16.9099807,-96.720373" TargetMode="External"/><Relationship Id="rId1594" Type="http://schemas.openxmlformats.org/officeDocument/2006/relationships/hyperlink" Target="https://maps.google.com/?q=17.0283095,-96.711252" TargetMode="External"/><Relationship Id="rId2438" Type="http://schemas.openxmlformats.org/officeDocument/2006/relationships/hyperlink" Target="https://maps.google.com/?q=16.252579,-96.338922" TargetMode="External"/><Relationship Id="rId2645" Type="http://schemas.openxmlformats.org/officeDocument/2006/relationships/hyperlink" Target="https://maps.google.com/?q=16.476106,-98.007294" TargetMode="External"/><Relationship Id="rId2852" Type="http://schemas.openxmlformats.org/officeDocument/2006/relationships/hyperlink" Target="https://maps.google.com/?q=17.287726420425,-97.374175119929" TargetMode="External"/><Relationship Id="rId3903" Type="http://schemas.openxmlformats.org/officeDocument/2006/relationships/hyperlink" Target="https://maps.google.com/?q=16.86240306,-94.73453168" TargetMode="External"/><Relationship Id="rId93" Type="http://schemas.openxmlformats.org/officeDocument/2006/relationships/hyperlink" Target="https://maps.google.com/?q=17.803008421947,-97.778523274851" TargetMode="External"/><Relationship Id="rId617" Type="http://schemas.openxmlformats.org/officeDocument/2006/relationships/hyperlink" Target="https://maps.google.com/?q=17.047485316786,-96.716939169887" TargetMode="External"/><Relationship Id="rId824" Type="http://schemas.openxmlformats.org/officeDocument/2006/relationships/hyperlink" Target="https://maps.google.com/?q=17.08423703194,-96.700031578009" TargetMode="External"/><Relationship Id="rId1247" Type="http://schemas.openxmlformats.org/officeDocument/2006/relationships/hyperlink" Target="https://maps.google.com/?q=17.436886365045,-97.14709710318" TargetMode="External"/><Relationship Id="rId1454" Type="http://schemas.openxmlformats.org/officeDocument/2006/relationships/hyperlink" Target="https://maps.google.com/?q=16.279058,-97.820241" TargetMode="External"/><Relationship Id="rId1661" Type="http://schemas.openxmlformats.org/officeDocument/2006/relationships/hyperlink" Target="https://maps.google.com/?q=16.518143,-96.976983" TargetMode="External"/><Relationship Id="rId2505" Type="http://schemas.openxmlformats.org/officeDocument/2006/relationships/hyperlink" Target="https://maps.google.com/?q=16.265077,-96.309954" TargetMode="External"/><Relationship Id="rId2712" Type="http://schemas.openxmlformats.org/officeDocument/2006/relationships/hyperlink" Target="https://maps.google.com/?q=17.083556866816,-96.714048617227" TargetMode="External"/><Relationship Id="rId1107" Type="http://schemas.openxmlformats.org/officeDocument/2006/relationships/hyperlink" Target="https://maps.google.com/?q=17.068544,-96.72028" TargetMode="External"/><Relationship Id="rId1314" Type="http://schemas.openxmlformats.org/officeDocument/2006/relationships/hyperlink" Target="https://maps.google.com/?q=16.452468949214,-95.015679381615" TargetMode="External"/><Relationship Id="rId1521" Type="http://schemas.openxmlformats.org/officeDocument/2006/relationships/hyperlink" Target="https://maps.google.com/?q=17.063778,-96.729971" TargetMode="External"/><Relationship Id="rId3279" Type="http://schemas.openxmlformats.org/officeDocument/2006/relationships/hyperlink" Target="https://maps.google.com/?q=16.785562921202,-96.571841565033" TargetMode="External"/><Relationship Id="rId3486" Type="http://schemas.openxmlformats.org/officeDocument/2006/relationships/hyperlink" Target="https://maps.google.com/?q=16.789587930027,-96.553638571672" TargetMode="External"/><Relationship Id="rId3693" Type="http://schemas.openxmlformats.org/officeDocument/2006/relationships/hyperlink" Target="https://maps.google.com/?q=16.2072351,-97.5319953" TargetMode="External"/><Relationship Id="rId20" Type="http://schemas.openxmlformats.org/officeDocument/2006/relationships/hyperlink" Target="https://maps.google.com/?q=16.564244,-96.731829" TargetMode="External"/><Relationship Id="rId2088" Type="http://schemas.openxmlformats.org/officeDocument/2006/relationships/hyperlink" Target="https://maps.google.com/?q=16.924438272827,-96.604528732274" TargetMode="External"/><Relationship Id="rId2295" Type="http://schemas.openxmlformats.org/officeDocument/2006/relationships/hyperlink" Target="https://maps.google.com/?q=17.3554166,-96.53373853" TargetMode="External"/><Relationship Id="rId3139" Type="http://schemas.openxmlformats.org/officeDocument/2006/relationships/hyperlink" Target="https://maps.google.com/?q=16.777092480714,-96.584805533048" TargetMode="External"/><Relationship Id="rId3346" Type="http://schemas.openxmlformats.org/officeDocument/2006/relationships/hyperlink" Target="https://maps.google.com/?q=16.785917924684,-96.573661568319" TargetMode="External"/><Relationship Id="rId267" Type="http://schemas.openxmlformats.org/officeDocument/2006/relationships/hyperlink" Target="https://maps.google.com/?q=17.267449,-97.680485" TargetMode="External"/><Relationship Id="rId474" Type="http://schemas.openxmlformats.org/officeDocument/2006/relationships/hyperlink" Target="https://maps.google.com/?q=17.494681887182,-97.716493109025" TargetMode="External"/><Relationship Id="rId2155" Type="http://schemas.openxmlformats.org/officeDocument/2006/relationships/hyperlink" Target="https://maps.google.com/?q=17.04911515,-96.6367038" TargetMode="External"/><Relationship Id="rId3553" Type="http://schemas.openxmlformats.org/officeDocument/2006/relationships/hyperlink" Target="https://maps.google.com/?q=16.791911929214,-96.55172157685" TargetMode="External"/><Relationship Id="rId3760" Type="http://schemas.openxmlformats.org/officeDocument/2006/relationships/hyperlink" Target="https://maps.google.com/?q=16.2086251,-97.529681" TargetMode="External"/><Relationship Id="rId127" Type="http://schemas.openxmlformats.org/officeDocument/2006/relationships/hyperlink" Target="https://maps.google.com/?q=17.273014,-97.672572" TargetMode="External"/><Relationship Id="rId681" Type="http://schemas.openxmlformats.org/officeDocument/2006/relationships/hyperlink" Target="https://maps.google.com/?q=17.051402848448,-96.724401416816" TargetMode="External"/><Relationship Id="rId2362" Type="http://schemas.openxmlformats.org/officeDocument/2006/relationships/hyperlink" Target="https://maps.google.com/?q=17.3800793,-96.5050287" TargetMode="External"/><Relationship Id="rId3206" Type="http://schemas.openxmlformats.org/officeDocument/2006/relationships/hyperlink" Target="https://maps.google.com/?q=16.784862922328,-96.57444256046" TargetMode="External"/><Relationship Id="rId3413" Type="http://schemas.openxmlformats.org/officeDocument/2006/relationships/hyperlink" Target="https://maps.google.com/?q=16.786431929726,-96.556942572787" TargetMode="External"/><Relationship Id="rId3620" Type="http://schemas.openxmlformats.org/officeDocument/2006/relationships/hyperlink" Target="https://maps.google.com/?q=16.2054611,-97.52328" TargetMode="External"/><Relationship Id="rId334" Type="http://schemas.openxmlformats.org/officeDocument/2006/relationships/hyperlink" Target="https://maps.google.com/?q=16.977566871918,-97.638918978636" TargetMode="External"/><Relationship Id="rId541" Type="http://schemas.openxmlformats.org/officeDocument/2006/relationships/hyperlink" Target="https://maps.google.com/?q=17.071544120503,-96.715912270785" TargetMode="External"/><Relationship Id="rId1171" Type="http://schemas.openxmlformats.org/officeDocument/2006/relationships/hyperlink" Target="https://maps.google.com/?q=18.09916434557,-95.882220267529" TargetMode="External"/><Relationship Id="rId2015" Type="http://schemas.openxmlformats.org/officeDocument/2006/relationships/hyperlink" Target="https://maps.google.com/?q=16.783112,-96.03487" TargetMode="External"/><Relationship Id="rId2222" Type="http://schemas.openxmlformats.org/officeDocument/2006/relationships/hyperlink" Target="https://maps.google.com/?q=16.64510352443,-96.572066464793" TargetMode="External"/><Relationship Id="rId401" Type="http://schemas.openxmlformats.org/officeDocument/2006/relationships/hyperlink" Target="https://maps.google.com/?q=17.520556154983,-97.738947790927" TargetMode="External"/><Relationship Id="rId1031" Type="http://schemas.openxmlformats.org/officeDocument/2006/relationships/hyperlink" Target="https://maps.google.com/?q=16.279058,-97.820241" TargetMode="External"/><Relationship Id="rId1988" Type="http://schemas.openxmlformats.org/officeDocument/2006/relationships/hyperlink" Target="https://maps.google.com/?q=16.781911,-96.032057" TargetMode="External"/><Relationship Id="rId1848" Type="http://schemas.openxmlformats.org/officeDocument/2006/relationships/hyperlink" Target="https://maps.google.com/?q=16.147097381341,-96.35265337896" TargetMode="External"/><Relationship Id="rId3063" Type="http://schemas.openxmlformats.org/officeDocument/2006/relationships/hyperlink" Target="https://maps.google.com/?q=16.733616,-97.478435" TargetMode="External"/><Relationship Id="rId3270" Type="http://schemas.openxmlformats.org/officeDocument/2006/relationships/hyperlink" Target="https://maps.google.com/?q=16.785473920057,-96.563925564429" TargetMode="External"/><Relationship Id="rId191" Type="http://schemas.openxmlformats.org/officeDocument/2006/relationships/hyperlink" Target="https://maps.google.com/?q=17.277642877642,-97.670889201223" TargetMode="External"/><Relationship Id="rId1708" Type="http://schemas.openxmlformats.org/officeDocument/2006/relationships/hyperlink" Target="https://maps.google.com/?q=16.525725,-96.97801" TargetMode="External"/><Relationship Id="rId1915" Type="http://schemas.openxmlformats.org/officeDocument/2006/relationships/hyperlink" Target="https://maps.google.com/?q=16.779175,-96.034935" TargetMode="External"/><Relationship Id="rId3130" Type="http://schemas.openxmlformats.org/officeDocument/2006/relationships/hyperlink" Target="https://maps.google.com/?q=17.977328,-96.705026" TargetMode="External"/><Relationship Id="rId2689" Type="http://schemas.openxmlformats.org/officeDocument/2006/relationships/hyperlink" Target="https://maps.google.com/?q=17.066333368276,-96.735442916196" TargetMode="External"/><Relationship Id="rId2896" Type="http://schemas.openxmlformats.org/officeDocument/2006/relationships/hyperlink" Target="https://maps.google.com/?q=17.078447594108,-96.711226860439" TargetMode="External"/><Relationship Id="rId3947" Type="http://schemas.openxmlformats.org/officeDocument/2006/relationships/hyperlink" Target="https://maps.google.com/?q=16.88091981,-94.71178201" TargetMode="External"/><Relationship Id="rId868" Type="http://schemas.openxmlformats.org/officeDocument/2006/relationships/hyperlink" Target="https://maps.google.com/?q=17.116019704236,-96.758947466343" TargetMode="External"/><Relationship Id="rId1498" Type="http://schemas.openxmlformats.org/officeDocument/2006/relationships/hyperlink" Target="https://maps.google.com/?q=17.06372,-96.72961" TargetMode="External"/><Relationship Id="rId2549" Type="http://schemas.openxmlformats.org/officeDocument/2006/relationships/hyperlink" Target="https://maps.google.com/?q=17.941638,-96.868252" TargetMode="External"/><Relationship Id="rId2756" Type="http://schemas.openxmlformats.org/officeDocument/2006/relationships/hyperlink" Target="https://maps.google.com/?q=17.785465,-96.802109" TargetMode="External"/><Relationship Id="rId2963" Type="http://schemas.openxmlformats.org/officeDocument/2006/relationships/hyperlink" Target="https://maps.google.com/?q=17.84289195136,-97.013801921315" TargetMode="External"/><Relationship Id="rId3807" Type="http://schemas.openxmlformats.org/officeDocument/2006/relationships/hyperlink" Target="https://maps.google.com/?q=16.2102001,-97.5288341" TargetMode="External"/><Relationship Id="rId728" Type="http://schemas.openxmlformats.org/officeDocument/2006/relationships/hyperlink" Target="https://maps.google.com/?q=17.058410346482,-96.726334935382" TargetMode="External"/><Relationship Id="rId935" Type="http://schemas.openxmlformats.org/officeDocument/2006/relationships/hyperlink" Target="https://maps.google.com/?q=16.659061494519,-96.728782984987" TargetMode="External"/><Relationship Id="rId1358" Type="http://schemas.openxmlformats.org/officeDocument/2006/relationships/hyperlink" Target="https://maps.google.com/?q=17.439032299856,-95.549354537365" TargetMode="External"/><Relationship Id="rId1565" Type="http://schemas.openxmlformats.org/officeDocument/2006/relationships/hyperlink" Target="https://maps.google.com/?q=17.721369,-96.845194" TargetMode="External"/><Relationship Id="rId1772" Type="http://schemas.openxmlformats.org/officeDocument/2006/relationships/hyperlink" Target="https://maps.google.com/?q=17.02742257,-96.71175109" TargetMode="External"/><Relationship Id="rId2409" Type="http://schemas.openxmlformats.org/officeDocument/2006/relationships/hyperlink" Target="https://maps.google.com/?q=16.249613,-96.342067" TargetMode="External"/><Relationship Id="rId2616" Type="http://schemas.openxmlformats.org/officeDocument/2006/relationships/hyperlink" Target="https://maps.google.com/?q=17.09369477,-96.73936" TargetMode="External"/><Relationship Id="rId64" Type="http://schemas.openxmlformats.org/officeDocument/2006/relationships/hyperlink" Target="https://maps.google.com/?q=16.444791980659,-95.014763268409" TargetMode="External"/><Relationship Id="rId1218" Type="http://schemas.openxmlformats.org/officeDocument/2006/relationships/hyperlink" Target="https://maps.google.com/?q=17.048590716675,-97.005173002481" TargetMode="External"/><Relationship Id="rId1425" Type="http://schemas.openxmlformats.org/officeDocument/2006/relationships/hyperlink" Target="https://maps.google.com/?q=17.027131,-96.077044" TargetMode="External"/><Relationship Id="rId2823" Type="http://schemas.openxmlformats.org/officeDocument/2006/relationships/hyperlink" Target="https://maps.google.com/?q=17.280666407797,-97.373634873618" TargetMode="External"/><Relationship Id="rId1632" Type="http://schemas.openxmlformats.org/officeDocument/2006/relationships/hyperlink" Target="https://maps.google.com/?q=16.742407,-96.66262" TargetMode="External"/><Relationship Id="rId2199" Type="http://schemas.openxmlformats.org/officeDocument/2006/relationships/hyperlink" Target="https://maps.google.com/?q=16.636850655905,-96.587941186891" TargetMode="External"/><Relationship Id="rId3597" Type="http://schemas.openxmlformats.org/officeDocument/2006/relationships/hyperlink" Target="https://maps.google.com/?q=16.2052761,-97.527747" TargetMode="External"/><Relationship Id="rId3457" Type="http://schemas.openxmlformats.org/officeDocument/2006/relationships/hyperlink" Target="https://maps.google.com/?q=16.78865893019,-96.552348573197" TargetMode="External"/><Relationship Id="rId3664" Type="http://schemas.openxmlformats.org/officeDocument/2006/relationships/hyperlink" Target="https://maps.google.com/?q=16.2066411,-97.5288331" TargetMode="External"/><Relationship Id="rId3871" Type="http://schemas.openxmlformats.org/officeDocument/2006/relationships/hyperlink" Target="https://maps.google.com/?q=17.036751271816,-96.728311645033" TargetMode="External"/><Relationship Id="rId378" Type="http://schemas.openxmlformats.org/officeDocument/2006/relationships/hyperlink" Target="https://maps.google.com/?q=17.466725671932,-97.703988427434" TargetMode="External"/><Relationship Id="rId585" Type="http://schemas.openxmlformats.org/officeDocument/2006/relationships/hyperlink" Target="https://maps.google.com/?q=17.044768951631,-96.711765016682" TargetMode="External"/><Relationship Id="rId792" Type="http://schemas.openxmlformats.org/officeDocument/2006/relationships/hyperlink" Target="https://maps.google.com/?q=17.082080988715,-96.717148044946" TargetMode="External"/><Relationship Id="rId2059" Type="http://schemas.openxmlformats.org/officeDocument/2006/relationships/hyperlink" Target="https://maps.google.com/?q=16.784459,-96.030917" TargetMode="External"/><Relationship Id="rId2266" Type="http://schemas.openxmlformats.org/officeDocument/2006/relationships/hyperlink" Target="https://maps.google.com/?q=17.35216725,-96.52807304" TargetMode="External"/><Relationship Id="rId2473" Type="http://schemas.openxmlformats.org/officeDocument/2006/relationships/hyperlink" Target="https://maps.google.com/?q=16.255752,-96.322724" TargetMode="External"/><Relationship Id="rId2680" Type="http://schemas.openxmlformats.org/officeDocument/2006/relationships/hyperlink" Target="https://maps.google.com/?q=17.063548735316,-96.732825080197" TargetMode="External"/><Relationship Id="rId3317" Type="http://schemas.openxmlformats.org/officeDocument/2006/relationships/hyperlink" Target="https://maps.google.com/?q=16.785801920685,-96.571128564783" TargetMode="External"/><Relationship Id="rId3524" Type="http://schemas.openxmlformats.org/officeDocument/2006/relationships/hyperlink" Target="https://maps.google.com/?q=16.790812928549,-96.554291571687" TargetMode="External"/><Relationship Id="rId3731" Type="http://schemas.openxmlformats.org/officeDocument/2006/relationships/hyperlink" Target="https://maps.google.com/?q=16.2081741,-97.528138" TargetMode="External"/><Relationship Id="rId238" Type="http://schemas.openxmlformats.org/officeDocument/2006/relationships/hyperlink" Target="https://maps.google.com/?q=15.912499660308,-96.210625781066" TargetMode="External"/><Relationship Id="rId445" Type="http://schemas.openxmlformats.org/officeDocument/2006/relationships/hyperlink" Target="https://maps.google.com/?q=17.489605888853,-97.724349801266" TargetMode="External"/><Relationship Id="rId652" Type="http://schemas.openxmlformats.org/officeDocument/2006/relationships/hyperlink" Target="https://maps.google.com/?q=17.050131458134,-96.713687884418" TargetMode="External"/><Relationship Id="rId1075" Type="http://schemas.openxmlformats.org/officeDocument/2006/relationships/hyperlink" Target="https://maps.google.com/?q=17.097783,-96.750021" TargetMode="External"/><Relationship Id="rId1282" Type="http://schemas.openxmlformats.org/officeDocument/2006/relationships/hyperlink" Target="https://maps.google.com/?q=17.067289745027,-96.877470495701" TargetMode="External"/><Relationship Id="rId2126" Type="http://schemas.openxmlformats.org/officeDocument/2006/relationships/hyperlink" Target="https://maps.google.com/?q=16.875803647544,-97.506409816277" TargetMode="External"/><Relationship Id="rId2333" Type="http://schemas.openxmlformats.org/officeDocument/2006/relationships/hyperlink" Target="https://maps.google.com/?q=17.37614682,-96.50764051" TargetMode="External"/><Relationship Id="rId2540" Type="http://schemas.openxmlformats.org/officeDocument/2006/relationships/hyperlink" Target="https://maps.google.com/?q=16.272509,-96.308466" TargetMode="External"/><Relationship Id="rId305" Type="http://schemas.openxmlformats.org/officeDocument/2006/relationships/hyperlink" Target="https://maps.google.com/?q=16.939935,-96.7087052" TargetMode="External"/><Relationship Id="rId512" Type="http://schemas.openxmlformats.org/officeDocument/2006/relationships/hyperlink" Target="https://maps.google.com/?q=17.532324192107,-97.792301646662" TargetMode="External"/><Relationship Id="rId1142" Type="http://schemas.openxmlformats.org/officeDocument/2006/relationships/hyperlink" Target="https://maps.google.com/?q=16.522711142239,-97.165971742397" TargetMode="External"/><Relationship Id="rId2400" Type="http://schemas.openxmlformats.org/officeDocument/2006/relationships/hyperlink" Target="https://maps.google.com/?q=16.249283,-96.342269" TargetMode="External"/><Relationship Id="rId1002" Type="http://schemas.openxmlformats.org/officeDocument/2006/relationships/hyperlink" Target="https://maps.google.com/?q=17.465406,-97.348984" TargetMode="External"/><Relationship Id="rId1959" Type="http://schemas.openxmlformats.org/officeDocument/2006/relationships/hyperlink" Target="https://maps.google.com/?q=16.780917,-96.034305" TargetMode="External"/><Relationship Id="rId3174" Type="http://schemas.openxmlformats.org/officeDocument/2006/relationships/hyperlink" Target="https://maps.google.com/?q=16.783921924448,-96.56947856918" TargetMode="External"/><Relationship Id="rId1819" Type="http://schemas.openxmlformats.org/officeDocument/2006/relationships/hyperlink" Target="https://maps.google.com/?q=16.738389451923,-96.315587922805" TargetMode="External"/><Relationship Id="rId3381" Type="http://schemas.openxmlformats.org/officeDocument/2006/relationships/hyperlink" Target="https://maps.google.com/?q=16.786060929367,-96.559529570984" TargetMode="External"/><Relationship Id="rId2190" Type="http://schemas.openxmlformats.org/officeDocument/2006/relationships/hyperlink" Target="https://maps.google.com/?q=17.05295982,-96.63988734" TargetMode="External"/><Relationship Id="rId3034" Type="http://schemas.openxmlformats.org/officeDocument/2006/relationships/hyperlink" Target="https://maps.google.com/?q=17.049216,-96.727602" TargetMode="External"/><Relationship Id="rId3241" Type="http://schemas.openxmlformats.org/officeDocument/2006/relationships/hyperlink" Target="https://maps.google.com/?q=16.785266919846,-96.566049570739" TargetMode="External"/><Relationship Id="rId162" Type="http://schemas.openxmlformats.org/officeDocument/2006/relationships/hyperlink" Target="https://maps.google.com/?q=17.271269,-97.673892" TargetMode="External"/><Relationship Id="rId2050" Type="http://schemas.openxmlformats.org/officeDocument/2006/relationships/hyperlink" Target="https://maps.google.com/?q=16.784057,-96.030942" TargetMode="External"/><Relationship Id="rId3101" Type="http://schemas.openxmlformats.org/officeDocument/2006/relationships/hyperlink" Target="https://maps.google.com/?q=17.974457,-96.705978" TargetMode="External"/><Relationship Id="rId979" Type="http://schemas.openxmlformats.org/officeDocument/2006/relationships/hyperlink" Target="https://maps.google.com/?q=16.093167,-97.258469" TargetMode="External"/><Relationship Id="rId839" Type="http://schemas.openxmlformats.org/officeDocument/2006/relationships/hyperlink" Target="https://maps.google.com/?q=17.085228028354,-96.698721061664" TargetMode="External"/><Relationship Id="rId1469" Type="http://schemas.openxmlformats.org/officeDocument/2006/relationships/hyperlink" Target="https://maps.google.com/?q=17.267449,-97.680485" TargetMode="External"/><Relationship Id="rId2867" Type="http://schemas.openxmlformats.org/officeDocument/2006/relationships/hyperlink" Target="https://maps.google.com/?q=17.293682767837,-97.385367865322" TargetMode="External"/><Relationship Id="rId3918" Type="http://schemas.openxmlformats.org/officeDocument/2006/relationships/hyperlink" Target="https://maps.google.com/?q=16.86155164,-94.72834909" TargetMode="External"/><Relationship Id="rId1676" Type="http://schemas.openxmlformats.org/officeDocument/2006/relationships/hyperlink" Target="https://maps.google.com/?q=16.522057,-96.978038" TargetMode="External"/><Relationship Id="rId1883" Type="http://schemas.openxmlformats.org/officeDocument/2006/relationships/hyperlink" Target="https://maps.google.com/?q=16.777743,-96.032078" TargetMode="External"/><Relationship Id="rId2727" Type="http://schemas.openxmlformats.org/officeDocument/2006/relationships/hyperlink" Target="https://maps.google.com/?q=17.062886126948,-96.707940190723" TargetMode="External"/><Relationship Id="rId2934" Type="http://schemas.openxmlformats.org/officeDocument/2006/relationships/hyperlink" Target="https://maps.google.com/?q=17.073422,-96.72772" TargetMode="External"/><Relationship Id="rId906" Type="http://schemas.openxmlformats.org/officeDocument/2006/relationships/hyperlink" Target="https://maps.google.com/?q=17.907605,-96.343515" TargetMode="External"/><Relationship Id="rId1329" Type="http://schemas.openxmlformats.org/officeDocument/2006/relationships/hyperlink" Target="https://maps.google.com/?q=17.826475492786,-97.783845301922" TargetMode="External"/><Relationship Id="rId1536" Type="http://schemas.openxmlformats.org/officeDocument/2006/relationships/hyperlink" Target="https://maps.google.com/?q=17.02481,-95.921695" TargetMode="External"/><Relationship Id="rId1743" Type="http://schemas.openxmlformats.org/officeDocument/2006/relationships/hyperlink" Target="https://maps.google.com/?q=16.801205,-96.45561" TargetMode="External"/><Relationship Id="rId1950" Type="http://schemas.openxmlformats.org/officeDocument/2006/relationships/hyperlink" Target="https://maps.google.com/?q=16.78054,-96.032545" TargetMode="External"/><Relationship Id="rId35" Type="http://schemas.openxmlformats.org/officeDocument/2006/relationships/hyperlink" Target="https://maps.google.com/?q=17.501442,-98.142584" TargetMode="External"/><Relationship Id="rId1603" Type="http://schemas.openxmlformats.org/officeDocument/2006/relationships/hyperlink" Target="https://maps.google.com/?q=17.129328,-96.801869" TargetMode="External"/><Relationship Id="rId1810" Type="http://schemas.openxmlformats.org/officeDocument/2006/relationships/hyperlink" Target="https://maps.google.com/?q=17.0610961489,-96.7122614148" TargetMode="External"/><Relationship Id="rId3568" Type="http://schemas.openxmlformats.org/officeDocument/2006/relationships/hyperlink" Target="https://maps.google.com/?q=16.2036304,-97.5282483" TargetMode="External"/><Relationship Id="rId3775" Type="http://schemas.openxmlformats.org/officeDocument/2006/relationships/hyperlink" Target="https://maps.google.com/?q=16.2089525,-97.5318564" TargetMode="External"/><Relationship Id="rId3982" Type="http://schemas.openxmlformats.org/officeDocument/2006/relationships/hyperlink" Target="https://maps.google.com/?q=16.89710123,-94.69580263" TargetMode="External"/><Relationship Id="rId489" Type="http://schemas.openxmlformats.org/officeDocument/2006/relationships/hyperlink" Target="https://maps.google.com/?q=17.534064,-97.722826" TargetMode="External"/><Relationship Id="rId696" Type="http://schemas.openxmlformats.org/officeDocument/2006/relationships/hyperlink" Target="https://maps.google.com/?q=17.0526471,-96.7158533" TargetMode="External"/><Relationship Id="rId2377" Type="http://schemas.openxmlformats.org/officeDocument/2006/relationships/hyperlink" Target="https://maps.google.com/?q=16.23197,-96.340132" TargetMode="External"/><Relationship Id="rId2584" Type="http://schemas.openxmlformats.org/officeDocument/2006/relationships/hyperlink" Target="https://maps.google.com/?q=17.0901949468,-96.736720122" TargetMode="External"/><Relationship Id="rId2791" Type="http://schemas.openxmlformats.org/officeDocument/2006/relationships/hyperlink" Target="https://maps.google.com/?q=17.789876,-96.816096" TargetMode="External"/><Relationship Id="rId3428" Type="http://schemas.openxmlformats.org/officeDocument/2006/relationships/hyperlink" Target="https://maps.google.com/?q=16.78675092495,-96.556557571454" TargetMode="External"/><Relationship Id="rId3635" Type="http://schemas.openxmlformats.org/officeDocument/2006/relationships/hyperlink" Target="https://maps.google.com/?q=16.2056811,-97.528239" TargetMode="External"/><Relationship Id="rId349" Type="http://schemas.openxmlformats.org/officeDocument/2006/relationships/hyperlink" Target="https://maps.google.com/?q=16.987332424114,-97.656090253168" TargetMode="External"/><Relationship Id="rId556" Type="http://schemas.openxmlformats.org/officeDocument/2006/relationships/hyperlink" Target="https://maps.google.com/?q=17.071544120503,-96.715912270785" TargetMode="External"/><Relationship Id="rId763" Type="http://schemas.openxmlformats.org/officeDocument/2006/relationships/hyperlink" Target="https://maps.google.com/?q=17.06789195618,-96.722453587689" TargetMode="External"/><Relationship Id="rId1186" Type="http://schemas.openxmlformats.org/officeDocument/2006/relationships/hyperlink" Target="https://maps.google.com/?q=17.013223996321,-96.741496288361" TargetMode="External"/><Relationship Id="rId1393" Type="http://schemas.openxmlformats.org/officeDocument/2006/relationships/hyperlink" Target="https://maps.google.com/?q=16.9099807,-96.720373" TargetMode="External"/><Relationship Id="rId2237" Type="http://schemas.openxmlformats.org/officeDocument/2006/relationships/hyperlink" Target="https://maps.google.com/?q=17.34615262,-96.53033559" TargetMode="External"/><Relationship Id="rId2444" Type="http://schemas.openxmlformats.org/officeDocument/2006/relationships/hyperlink" Target="https://maps.google.com/?q=16.253026,-96.328784" TargetMode="External"/><Relationship Id="rId3842" Type="http://schemas.openxmlformats.org/officeDocument/2006/relationships/hyperlink" Target="https://maps.google.com/?q=16.493380731679,-96.735159940064" TargetMode="External"/><Relationship Id="rId209" Type="http://schemas.openxmlformats.org/officeDocument/2006/relationships/hyperlink" Target="https://maps.google.com/?q=15.907031585258,-96.22080866115" TargetMode="External"/><Relationship Id="rId416" Type="http://schemas.openxmlformats.org/officeDocument/2006/relationships/hyperlink" Target="https://maps.google.com/?q=17.495051566723,-97.731414112293" TargetMode="External"/><Relationship Id="rId970" Type="http://schemas.openxmlformats.org/officeDocument/2006/relationships/hyperlink" Target="https://maps.google.com/?q=16.374909276127,-97.283183314778" TargetMode="External"/><Relationship Id="rId1046" Type="http://schemas.openxmlformats.org/officeDocument/2006/relationships/hyperlink" Target="https://maps.google.com/?q=17.267449,-97.680485" TargetMode="External"/><Relationship Id="rId1253" Type="http://schemas.openxmlformats.org/officeDocument/2006/relationships/hyperlink" Target="https://maps.google.com/?q=17.384463924212,-97.91350812632" TargetMode="External"/><Relationship Id="rId2651" Type="http://schemas.openxmlformats.org/officeDocument/2006/relationships/hyperlink" Target="https://maps.google.com/?q=17.986477,-96.794861" TargetMode="External"/><Relationship Id="rId3702" Type="http://schemas.openxmlformats.org/officeDocument/2006/relationships/hyperlink" Target="https://maps.google.com/?q=16.2074331,-97.528002" TargetMode="External"/><Relationship Id="rId623" Type="http://schemas.openxmlformats.org/officeDocument/2006/relationships/hyperlink" Target="https://maps.google.com/?q=17.048018830286,-96.727596287331" TargetMode="External"/><Relationship Id="rId830" Type="http://schemas.openxmlformats.org/officeDocument/2006/relationships/hyperlink" Target="https://maps.google.com/?q=17.084621960203,-96.69952362345" TargetMode="External"/><Relationship Id="rId1460" Type="http://schemas.openxmlformats.org/officeDocument/2006/relationships/hyperlink" Target="https://maps.google.com/?q=16.564244,-96.731829" TargetMode="External"/><Relationship Id="rId2304" Type="http://schemas.openxmlformats.org/officeDocument/2006/relationships/hyperlink" Target="https://maps.google.com/?q=17.35729507,-96.52933045" TargetMode="External"/><Relationship Id="rId2511" Type="http://schemas.openxmlformats.org/officeDocument/2006/relationships/hyperlink" Target="https://maps.google.com/?q=16.267304,-96.308941" TargetMode="External"/><Relationship Id="rId1113" Type="http://schemas.openxmlformats.org/officeDocument/2006/relationships/hyperlink" Target="https://maps.google.com/?q=16.339011658674,-98.050329906656" TargetMode="External"/><Relationship Id="rId1320" Type="http://schemas.openxmlformats.org/officeDocument/2006/relationships/hyperlink" Target="https://maps.google.com/?q=16.822345604295,-95.119956241734" TargetMode="External"/><Relationship Id="rId3078" Type="http://schemas.openxmlformats.org/officeDocument/2006/relationships/hyperlink" Target="https://maps.google.com/?q=16.306673,-97.567915" TargetMode="External"/><Relationship Id="rId3285" Type="http://schemas.openxmlformats.org/officeDocument/2006/relationships/hyperlink" Target="https://maps.google.com/?q=16.785609919404,-96.564909564443" TargetMode="External"/><Relationship Id="rId3492" Type="http://schemas.openxmlformats.org/officeDocument/2006/relationships/hyperlink" Target="https://maps.google.com/?q=16.789802929346,-96.553638574087" TargetMode="External"/><Relationship Id="rId2094" Type="http://schemas.openxmlformats.org/officeDocument/2006/relationships/hyperlink" Target="https://maps.google.com/?q=16.926487313438,-96.605010541079" TargetMode="External"/><Relationship Id="rId3145" Type="http://schemas.openxmlformats.org/officeDocument/2006/relationships/hyperlink" Target="https://maps.google.com/?q=16.780413372522,-96.577053437767" TargetMode="External"/><Relationship Id="rId3352" Type="http://schemas.openxmlformats.org/officeDocument/2006/relationships/hyperlink" Target="https://maps.google.com/?q=16.785927922082,-96.570701564693" TargetMode="External"/><Relationship Id="rId273" Type="http://schemas.openxmlformats.org/officeDocument/2006/relationships/hyperlink" Target="https://maps.google.com/?q=17.501442,-98.142584" TargetMode="External"/><Relationship Id="rId480" Type="http://schemas.openxmlformats.org/officeDocument/2006/relationships/hyperlink" Target="https://maps.google.com/?q=17.5325,-97.721606" TargetMode="External"/><Relationship Id="rId2161" Type="http://schemas.openxmlformats.org/officeDocument/2006/relationships/hyperlink" Target="https://maps.google.com/?q=17.04969991,-96.63738287" TargetMode="External"/><Relationship Id="rId3005" Type="http://schemas.openxmlformats.org/officeDocument/2006/relationships/hyperlink" Target="https://maps.google.com/?q=17.291035465783,-98.011505628064" TargetMode="External"/><Relationship Id="rId3212" Type="http://schemas.openxmlformats.org/officeDocument/2006/relationships/hyperlink" Target="https://maps.google.com/?q=16.78494392214,-96.575797567032" TargetMode="External"/><Relationship Id="rId133" Type="http://schemas.openxmlformats.org/officeDocument/2006/relationships/hyperlink" Target="https://maps.google.com/?q=17.26797,-97.673775" TargetMode="External"/><Relationship Id="rId340" Type="http://schemas.openxmlformats.org/officeDocument/2006/relationships/hyperlink" Target="https://maps.google.com/?q=16.979957731274,-97.638986033861" TargetMode="External"/><Relationship Id="rId2021" Type="http://schemas.openxmlformats.org/officeDocument/2006/relationships/hyperlink" Target="https://maps.google.com/?q=16.783194,-96.03498" TargetMode="External"/><Relationship Id="rId200" Type="http://schemas.openxmlformats.org/officeDocument/2006/relationships/hyperlink" Target="https://maps.google.com/?q=15.905902719601,-96.221514806622" TargetMode="External"/><Relationship Id="rId2978" Type="http://schemas.openxmlformats.org/officeDocument/2006/relationships/hyperlink" Target="https://maps.google.com/?q=17.0604734646,-96.7055142007" TargetMode="External"/><Relationship Id="rId1787" Type="http://schemas.openxmlformats.org/officeDocument/2006/relationships/hyperlink" Target="https://maps.google.com/?q=17.98544,-96.83198" TargetMode="External"/><Relationship Id="rId1994" Type="http://schemas.openxmlformats.org/officeDocument/2006/relationships/hyperlink" Target="https://maps.google.com/?q=16.782126,-96.032218" TargetMode="External"/><Relationship Id="rId2838" Type="http://schemas.openxmlformats.org/officeDocument/2006/relationships/hyperlink" Target="https://maps.google.com/?q=17.284972,-97.377904" TargetMode="External"/><Relationship Id="rId79" Type="http://schemas.openxmlformats.org/officeDocument/2006/relationships/hyperlink" Target="https://maps.google.com/?q=15.787931331164,-96.049774916996" TargetMode="External"/><Relationship Id="rId1647" Type="http://schemas.openxmlformats.org/officeDocument/2006/relationships/hyperlink" Target="https://maps.google.com/?q=16.515052,-96.977737" TargetMode="External"/><Relationship Id="rId1854" Type="http://schemas.openxmlformats.org/officeDocument/2006/relationships/hyperlink" Target="https://maps.google.com/?q=16.068759684187,-96.300220991718" TargetMode="External"/><Relationship Id="rId2905" Type="http://schemas.openxmlformats.org/officeDocument/2006/relationships/hyperlink" Target="https://maps.google.com/?q=16.82638,-97.764275" TargetMode="External"/><Relationship Id="rId1507" Type="http://schemas.openxmlformats.org/officeDocument/2006/relationships/hyperlink" Target="https://maps.google.com/?q=16.237076,-97.292352" TargetMode="External"/><Relationship Id="rId1714" Type="http://schemas.openxmlformats.org/officeDocument/2006/relationships/hyperlink" Target="https://maps.google.com/?q=16.526802,-96.977249" TargetMode="External"/><Relationship Id="rId1921" Type="http://schemas.openxmlformats.org/officeDocument/2006/relationships/hyperlink" Target="https://maps.google.com/?q=16.779312,-96.033452" TargetMode="External"/><Relationship Id="rId3679" Type="http://schemas.openxmlformats.org/officeDocument/2006/relationships/hyperlink" Target="https://maps.google.com/?q=16.2070511,-97.53305" TargetMode="External"/><Relationship Id="rId2488" Type="http://schemas.openxmlformats.org/officeDocument/2006/relationships/hyperlink" Target="https://maps.google.com/?q=16.257901,-96.316168" TargetMode="External"/><Relationship Id="rId3886" Type="http://schemas.openxmlformats.org/officeDocument/2006/relationships/hyperlink" Target="https://maps.google.com/?q=16.85698923,-94.74213024" TargetMode="External"/><Relationship Id="rId1297" Type="http://schemas.openxmlformats.org/officeDocument/2006/relationships/hyperlink" Target="https://maps.google.com/?q=18.144179567838,-96.952511678574" TargetMode="External"/><Relationship Id="rId2695" Type="http://schemas.openxmlformats.org/officeDocument/2006/relationships/hyperlink" Target="https://maps.google.com/?q=17.069198221585,-96.715835607929" TargetMode="External"/><Relationship Id="rId3539" Type="http://schemas.openxmlformats.org/officeDocument/2006/relationships/hyperlink" Target="https://maps.google.com/?q=16.790991923116,-96.554386576459" TargetMode="External"/><Relationship Id="rId3746" Type="http://schemas.openxmlformats.org/officeDocument/2006/relationships/hyperlink" Target="https://maps.google.com/?q=16.2084071,-97.529078" TargetMode="External"/><Relationship Id="rId3953" Type="http://schemas.openxmlformats.org/officeDocument/2006/relationships/hyperlink" Target="https://maps.google.com/?q=16.88357659,-94.70852107" TargetMode="External"/><Relationship Id="rId667" Type="http://schemas.openxmlformats.org/officeDocument/2006/relationships/hyperlink" Target="https://maps.google.com/?q=17.05074862257,-96.728122216101" TargetMode="External"/><Relationship Id="rId874" Type="http://schemas.openxmlformats.org/officeDocument/2006/relationships/hyperlink" Target="https://maps.google.com/?q=17.117902358857,-96.769395560679" TargetMode="External"/><Relationship Id="rId2348" Type="http://schemas.openxmlformats.org/officeDocument/2006/relationships/hyperlink" Target="https://maps.google.com/?q=17.37932384,-96.50312003" TargetMode="External"/><Relationship Id="rId2555" Type="http://schemas.openxmlformats.org/officeDocument/2006/relationships/hyperlink" Target="https://maps.google.com/?q=16.774243170662,-96.029215268312" TargetMode="External"/><Relationship Id="rId2762" Type="http://schemas.openxmlformats.org/officeDocument/2006/relationships/hyperlink" Target="https://maps.google.com/?q=17.785997,-96.803677" TargetMode="External"/><Relationship Id="rId3606" Type="http://schemas.openxmlformats.org/officeDocument/2006/relationships/hyperlink" Target="https://maps.google.com/?q=16.2053656,-97.5240115" TargetMode="External"/><Relationship Id="rId3813" Type="http://schemas.openxmlformats.org/officeDocument/2006/relationships/hyperlink" Target="https://maps.google.com/?q=16.2106651,-97.529813" TargetMode="External"/><Relationship Id="rId527" Type="http://schemas.openxmlformats.org/officeDocument/2006/relationships/hyperlink" Target="https://maps.google.com/?q=16.876187906847,-95.446998017944" TargetMode="External"/><Relationship Id="rId734" Type="http://schemas.openxmlformats.org/officeDocument/2006/relationships/hyperlink" Target="https://maps.google.com/?q=17.059913777263,-96.706872067254" TargetMode="External"/><Relationship Id="rId941" Type="http://schemas.openxmlformats.org/officeDocument/2006/relationships/hyperlink" Target="https://maps.google.com/?q=16.450483539051,-98.014861942401" TargetMode="External"/><Relationship Id="rId1157" Type="http://schemas.openxmlformats.org/officeDocument/2006/relationships/hyperlink" Target="https://maps.google.com/?q=18.139466413115,-97.071154580357" TargetMode="External"/><Relationship Id="rId1364" Type="http://schemas.openxmlformats.org/officeDocument/2006/relationships/hyperlink" Target="https://maps.google.com/?q=16.938058565856,-95.669141127647" TargetMode="External"/><Relationship Id="rId1571" Type="http://schemas.openxmlformats.org/officeDocument/2006/relationships/hyperlink" Target="https://maps.google.com/?q=17.059029,-96.7053719" TargetMode="External"/><Relationship Id="rId2208" Type="http://schemas.openxmlformats.org/officeDocument/2006/relationships/hyperlink" Target="https://maps.google.com/?q=16.643530908391,-96.582333619118" TargetMode="External"/><Relationship Id="rId2415" Type="http://schemas.openxmlformats.org/officeDocument/2006/relationships/hyperlink" Target="https://maps.google.com/?q=16.249981,-96.341048" TargetMode="External"/><Relationship Id="rId2622" Type="http://schemas.openxmlformats.org/officeDocument/2006/relationships/hyperlink" Target="https://maps.google.com/?q=17.060591760302,-96.704750022419" TargetMode="External"/><Relationship Id="rId70" Type="http://schemas.openxmlformats.org/officeDocument/2006/relationships/hyperlink" Target="https://maps.google.com/?q=16.9099807,-96.720373" TargetMode="External"/><Relationship Id="rId801" Type="http://schemas.openxmlformats.org/officeDocument/2006/relationships/hyperlink" Target="https://maps.google.com/?q=17.082876257557,-96.698009377678" TargetMode="External"/><Relationship Id="rId1017" Type="http://schemas.openxmlformats.org/officeDocument/2006/relationships/hyperlink" Target="https://maps.google.com/?q=16.48635,-97.86681" TargetMode="External"/><Relationship Id="rId1224" Type="http://schemas.openxmlformats.org/officeDocument/2006/relationships/hyperlink" Target="https://maps.google.com/?q=16.971001,-96.805818" TargetMode="External"/><Relationship Id="rId1431" Type="http://schemas.openxmlformats.org/officeDocument/2006/relationships/hyperlink" Target="https://maps.google.com/?q=17.33873,-96.152554" TargetMode="External"/><Relationship Id="rId3189" Type="http://schemas.openxmlformats.org/officeDocument/2006/relationships/hyperlink" Target="https://maps.google.com/?q=16.78467092742,-96.566194565323" TargetMode="External"/><Relationship Id="rId3396" Type="http://schemas.openxmlformats.org/officeDocument/2006/relationships/hyperlink" Target="https://maps.google.com/?q=16.786141917665,-96.577501561888" TargetMode="External"/><Relationship Id="rId3049" Type="http://schemas.openxmlformats.org/officeDocument/2006/relationships/hyperlink" Target="https://maps.google.com/?q=17.304296,-96.914079" TargetMode="External"/><Relationship Id="rId3256" Type="http://schemas.openxmlformats.org/officeDocument/2006/relationships/hyperlink" Target="https://maps.google.com/?q=16.785361918348,-96.571971563046" TargetMode="External"/><Relationship Id="rId3463" Type="http://schemas.openxmlformats.org/officeDocument/2006/relationships/hyperlink" Target="https://maps.google.com/?q=16.788732930722,-96.553408572282" TargetMode="External"/><Relationship Id="rId177" Type="http://schemas.openxmlformats.org/officeDocument/2006/relationships/hyperlink" Target="https://maps.google.com/?q=17.275339,-97.671558" TargetMode="External"/><Relationship Id="rId384" Type="http://schemas.openxmlformats.org/officeDocument/2006/relationships/hyperlink" Target="https://maps.google.com/?q=17.470201942525,-97.708225" TargetMode="External"/><Relationship Id="rId591" Type="http://schemas.openxmlformats.org/officeDocument/2006/relationships/hyperlink" Target="https://maps.google.com/?q=17.04560054224,-96.716984105722" TargetMode="External"/><Relationship Id="rId2065" Type="http://schemas.openxmlformats.org/officeDocument/2006/relationships/hyperlink" Target="https://maps.google.com/?q=16.784748,-96.030759" TargetMode="External"/><Relationship Id="rId2272" Type="http://schemas.openxmlformats.org/officeDocument/2006/relationships/hyperlink" Target="https://maps.google.com/?q=17.352612,-96.53703026" TargetMode="External"/><Relationship Id="rId3116" Type="http://schemas.openxmlformats.org/officeDocument/2006/relationships/hyperlink" Target="https://maps.google.com/?q=17.975503,-96.702737" TargetMode="External"/><Relationship Id="rId3670" Type="http://schemas.openxmlformats.org/officeDocument/2006/relationships/hyperlink" Target="https://maps.google.com/?q=16.2068861,-97.531977" TargetMode="External"/><Relationship Id="rId244" Type="http://schemas.openxmlformats.org/officeDocument/2006/relationships/hyperlink" Target="https://maps.google.com/?q=17.33738,-96.1148" TargetMode="External"/><Relationship Id="rId1081" Type="http://schemas.openxmlformats.org/officeDocument/2006/relationships/hyperlink" Target="https://maps.google.com/?q=17.108633,-96.754686" TargetMode="External"/><Relationship Id="rId3323" Type="http://schemas.openxmlformats.org/officeDocument/2006/relationships/hyperlink" Target="https://maps.google.com/?q=16.785813921795,-96.576950563192" TargetMode="External"/><Relationship Id="rId3530" Type="http://schemas.openxmlformats.org/officeDocument/2006/relationships/hyperlink" Target="https://maps.google.com/?q=16.790879926912,-96.554317569706" TargetMode="External"/><Relationship Id="rId451" Type="http://schemas.openxmlformats.org/officeDocument/2006/relationships/hyperlink" Target="https://maps.google.com/?q=17.491694912716,-97.730982913987" TargetMode="External"/><Relationship Id="rId2132" Type="http://schemas.openxmlformats.org/officeDocument/2006/relationships/hyperlink" Target="https://maps.google.com/?q=16.87688101,-97.50549111" TargetMode="External"/><Relationship Id="rId104" Type="http://schemas.openxmlformats.org/officeDocument/2006/relationships/hyperlink" Target="https://maps.google.com/?q=17.044806688976,-96.629701605395" TargetMode="External"/><Relationship Id="rId311" Type="http://schemas.openxmlformats.org/officeDocument/2006/relationships/hyperlink" Target="https://maps.google.com/?q=16.9416675,-96.7105479" TargetMode="External"/><Relationship Id="rId1898" Type="http://schemas.openxmlformats.org/officeDocument/2006/relationships/hyperlink" Target="https://maps.google.com/?q=16.778588,-96.033252" TargetMode="External"/><Relationship Id="rId2949" Type="http://schemas.openxmlformats.org/officeDocument/2006/relationships/hyperlink" Target="https://maps.google.com/?q=17.712131505419,-96.937624243887" TargetMode="External"/><Relationship Id="rId1758" Type="http://schemas.openxmlformats.org/officeDocument/2006/relationships/hyperlink" Target="https://maps.google.com/?q=16.561716,-97.539638" TargetMode="External"/><Relationship Id="rId2809" Type="http://schemas.openxmlformats.org/officeDocument/2006/relationships/hyperlink" Target="https://maps.google.com/?q=17.801512,-96.816963" TargetMode="External"/><Relationship Id="rId1965" Type="http://schemas.openxmlformats.org/officeDocument/2006/relationships/hyperlink" Target="https://maps.google.com/?q=16.781176,-96.033277" TargetMode="External"/><Relationship Id="rId3180" Type="http://schemas.openxmlformats.org/officeDocument/2006/relationships/hyperlink" Target="https://maps.google.com/?q=16.784224918488,-96.56646957161" TargetMode="External"/><Relationship Id="rId1618" Type="http://schemas.openxmlformats.org/officeDocument/2006/relationships/hyperlink" Target="https://maps.google.com/?q=17.770171,-96.329152" TargetMode="External"/><Relationship Id="rId1825" Type="http://schemas.openxmlformats.org/officeDocument/2006/relationships/hyperlink" Target="https://maps.google.com/?q=17.021408,-96.716361" TargetMode="External"/><Relationship Id="rId3040" Type="http://schemas.openxmlformats.org/officeDocument/2006/relationships/hyperlink" Target="https://maps.google.com/?q=16.440173,-95.442899" TargetMode="External"/><Relationship Id="rId3997" Type="http://schemas.openxmlformats.org/officeDocument/2006/relationships/hyperlink" Target="https://maps.google.com/?q=16.90056197,-94.69254835" TargetMode="External"/><Relationship Id="rId2599" Type="http://schemas.openxmlformats.org/officeDocument/2006/relationships/hyperlink" Target="https://maps.google.com/?q=17.091462337,-96.73697678" TargetMode="External"/><Relationship Id="rId3857" Type="http://schemas.openxmlformats.org/officeDocument/2006/relationships/hyperlink" Target="https://maps.google.com/?q=17.028667870475,-96.710540884902" TargetMode="External"/><Relationship Id="rId778" Type="http://schemas.openxmlformats.org/officeDocument/2006/relationships/hyperlink" Target="https://maps.google.com/?q=17.080835176612,-96.706677210514" TargetMode="External"/><Relationship Id="rId985" Type="http://schemas.openxmlformats.org/officeDocument/2006/relationships/hyperlink" Target="https://maps.google.com/?q=17.099233,-97.107082" TargetMode="External"/><Relationship Id="rId2459" Type="http://schemas.openxmlformats.org/officeDocument/2006/relationships/hyperlink" Target="https://maps.google.com/?q=16.254568,-96.337677" TargetMode="External"/><Relationship Id="rId2666" Type="http://schemas.openxmlformats.org/officeDocument/2006/relationships/hyperlink" Target="https://maps.google.com/?q=17.06083343949,-96.714302112683" TargetMode="External"/><Relationship Id="rId2873" Type="http://schemas.openxmlformats.org/officeDocument/2006/relationships/hyperlink" Target="https://maps.google.com/?q=17.055878112871,-96.828977368921" TargetMode="External"/><Relationship Id="rId3717" Type="http://schemas.openxmlformats.org/officeDocument/2006/relationships/hyperlink" Target="https://maps.google.com/?q=16.2078101,-97.529853" TargetMode="External"/><Relationship Id="rId3924" Type="http://schemas.openxmlformats.org/officeDocument/2006/relationships/hyperlink" Target="https://maps.google.com/?q=16.86480965,-94.72775934" TargetMode="External"/><Relationship Id="rId638" Type="http://schemas.openxmlformats.org/officeDocument/2006/relationships/hyperlink" Target="https://maps.google.com/?q=17.048917336402,-96.725855836442" TargetMode="External"/><Relationship Id="rId845" Type="http://schemas.openxmlformats.org/officeDocument/2006/relationships/hyperlink" Target="https://maps.google.com/?q=17.085735242993,-96.696780378661" TargetMode="External"/><Relationship Id="rId1268" Type="http://schemas.openxmlformats.org/officeDocument/2006/relationships/hyperlink" Target="https://maps.google.com/?q=16.967126538109,-95.758904527786" TargetMode="External"/><Relationship Id="rId1475" Type="http://schemas.openxmlformats.org/officeDocument/2006/relationships/hyperlink" Target="https://maps.google.com/?q=17.501442,-98.142584" TargetMode="External"/><Relationship Id="rId1682" Type="http://schemas.openxmlformats.org/officeDocument/2006/relationships/hyperlink" Target="https://maps.google.com/?q=16.523215,-96.978204" TargetMode="External"/><Relationship Id="rId2319" Type="http://schemas.openxmlformats.org/officeDocument/2006/relationships/hyperlink" Target="https://maps.google.com/?q=17.36991147,-96.50811055" TargetMode="External"/><Relationship Id="rId2526" Type="http://schemas.openxmlformats.org/officeDocument/2006/relationships/hyperlink" Target="https://maps.google.com/?q=16.271009,-96.309999" TargetMode="External"/><Relationship Id="rId2733" Type="http://schemas.openxmlformats.org/officeDocument/2006/relationships/hyperlink" Target="https://maps.google.com/?q=17.064119143962,-96.702250799048" TargetMode="External"/><Relationship Id="rId705" Type="http://schemas.openxmlformats.org/officeDocument/2006/relationships/hyperlink" Target="https://maps.google.com/?q=17.05323196661,-96.716421268212" TargetMode="External"/><Relationship Id="rId1128" Type="http://schemas.openxmlformats.org/officeDocument/2006/relationships/hyperlink" Target="https://maps.google.com/?q=17.051308242517,-96.731365378197" TargetMode="External"/><Relationship Id="rId1335" Type="http://schemas.openxmlformats.org/officeDocument/2006/relationships/hyperlink" Target="https://maps.google.com/?q=17.71710447033,-97.740775941139" TargetMode="External"/><Relationship Id="rId1542" Type="http://schemas.openxmlformats.org/officeDocument/2006/relationships/hyperlink" Target="https://maps.google.com/?q=17.422654,-97.314165" TargetMode="External"/><Relationship Id="rId2940" Type="http://schemas.openxmlformats.org/officeDocument/2006/relationships/hyperlink" Target="https://maps.google.com/?q=17.122213,-96.764269" TargetMode="External"/><Relationship Id="rId912" Type="http://schemas.openxmlformats.org/officeDocument/2006/relationships/hyperlink" Target="https://maps.google.com/?q=18.135617,-97.0859" TargetMode="External"/><Relationship Id="rId2800" Type="http://schemas.openxmlformats.org/officeDocument/2006/relationships/hyperlink" Target="https://maps.google.com/?q=17.792167,-96.817379" TargetMode="External"/><Relationship Id="rId41" Type="http://schemas.openxmlformats.org/officeDocument/2006/relationships/hyperlink" Target="https://maps.google.com/?q=18.13222,-97.070751" TargetMode="External"/><Relationship Id="rId1402" Type="http://schemas.openxmlformats.org/officeDocument/2006/relationships/hyperlink" Target="https://maps.google.com/?q=17.424195,-97.579809" TargetMode="External"/><Relationship Id="rId288" Type="http://schemas.openxmlformats.org/officeDocument/2006/relationships/hyperlink" Target="https://maps.google.com/?q=17.466591,-97.572623" TargetMode="External"/><Relationship Id="rId3367" Type="http://schemas.openxmlformats.org/officeDocument/2006/relationships/hyperlink" Target="https://maps.google.com/?q=16.785983919079,-96.577127564603" TargetMode="External"/><Relationship Id="rId3574" Type="http://schemas.openxmlformats.org/officeDocument/2006/relationships/hyperlink" Target="https://maps.google.com/?q=16.2046391,-97.521299" TargetMode="External"/><Relationship Id="rId3781" Type="http://schemas.openxmlformats.org/officeDocument/2006/relationships/hyperlink" Target="https://maps.google.com/?q=16.2090151,-97.530233" TargetMode="External"/><Relationship Id="rId495" Type="http://schemas.openxmlformats.org/officeDocument/2006/relationships/hyperlink" Target="https://maps.google.com/?q=17.528142848309,-97.795777813492" TargetMode="External"/><Relationship Id="rId2176" Type="http://schemas.openxmlformats.org/officeDocument/2006/relationships/hyperlink" Target="https://maps.google.com/?q=17.0505025,-96.63785969" TargetMode="External"/><Relationship Id="rId2383" Type="http://schemas.openxmlformats.org/officeDocument/2006/relationships/hyperlink" Target="https://maps.google.com/?q=16.246911,-96.346036" TargetMode="External"/><Relationship Id="rId2590" Type="http://schemas.openxmlformats.org/officeDocument/2006/relationships/hyperlink" Target="https://maps.google.com/?q=17.090961477136,-96.736476184455" TargetMode="External"/><Relationship Id="rId3227" Type="http://schemas.openxmlformats.org/officeDocument/2006/relationships/hyperlink" Target="https://maps.google.com/?q=16.785112924675,-96.572746566635" TargetMode="External"/><Relationship Id="rId3434" Type="http://schemas.openxmlformats.org/officeDocument/2006/relationships/hyperlink" Target="https://maps.google.com/?q=16.787160923836,-96.556127576299" TargetMode="External"/><Relationship Id="rId3641" Type="http://schemas.openxmlformats.org/officeDocument/2006/relationships/hyperlink" Target="https://maps.google.com/?q=16.2058371,-97.5284948" TargetMode="External"/><Relationship Id="rId148" Type="http://schemas.openxmlformats.org/officeDocument/2006/relationships/hyperlink" Target="https://maps.google.com/?q=17.269754,-97.674317" TargetMode="External"/><Relationship Id="rId355" Type="http://schemas.openxmlformats.org/officeDocument/2006/relationships/hyperlink" Target="https://maps.google.com/?q=17.017503988674,-97.661464823327" TargetMode="External"/><Relationship Id="rId562" Type="http://schemas.openxmlformats.org/officeDocument/2006/relationships/hyperlink" Target="https://maps.google.com/?q=17.035360731761,-96.714968129922" TargetMode="External"/><Relationship Id="rId1192" Type="http://schemas.openxmlformats.org/officeDocument/2006/relationships/hyperlink" Target="https://maps.google.com/?q=17.1449444,-96.76252778" TargetMode="External"/><Relationship Id="rId2036" Type="http://schemas.openxmlformats.org/officeDocument/2006/relationships/hyperlink" Target="https://maps.google.com/?q=16.78363,-96.031228" TargetMode="External"/><Relationship Id="rId2243" Type="http://schemas.openxmlformats.org/officeDocument/2006/relationships/hyperlink" Target="https://maps.google.com/?q=17.34903425,-96.53036284" TargetMode="External"/><Relationship Id="rId2450" Type="http://schemas.openxmlformats.org/officeDocument/2006/relationships/hyperlink" Target="https://maps.google.com/?q=16.253616,-96.328485" TargetMode="External"/><Relationship Id="rId3501" Type="http://schemas.openxmlformats.org/officeDocument/2006/relationships/hyperlink" Target="https://maps.google.com/?q=16.790094922746,-96.554451571289" TargetMode="External"/><Relationship Id="rId215" Type="http://schemas.openxmlformats.org/officeDocument/2006/relationships/hyperlink" Target="https://maps.google.com/?q=15.908472910116,-96.218418291241" TargetMode="External"/><Relationship Id="rId422" Type="http://schemas.openxmlformats.org/officeDocument/2006/relationships/hyperlink" Target="https://maps.google.com/?q=17.501359400352,-97.729905353237" TargetMode="External"/><Relationship Id="rId1052" Type="http://schemas.openxmlformats.org/officeDocument/2006/relationships/hyperlink" Target="https://maps.google.com/?q=17.501442,-98.142584" TargetMode="External"/><Relationship Id="rId2103" Type="http://schemas.openxmlformats.org/officeDocument/2006/relationships/hyperlink" Target="https://maps.google.com/?q=16.928712784921,-96.602970788974" TargetMode="External"/><Relationship Id="rId2310" Type="http://schemas.openxmlformats.org/officeDocument/2006/relationships/hyperlink" Target="https://maps.google.com/?q=17.35967012,-96.52856497" TargetMode="External"/><Relationship Id="rId1869" Type="http://schemas.openxmlformats.org/officeDocument/2006/relationships/hyperlink" Target="https://maps.google.com/?q=16.071028443655,-96.303006025509" TargetMode="External"/><Relationship Id="rId3084" Type="http://schemas.openxmlformats.org/officeDocument/2006/relationships/hyperlink" Target="https://maps.google.com/?q=15.962752,-96.709267" TargetMode="External"/><Relationship Id="rId3291" Type="http://schemas.openxmlformats.org/officeDocument/2006/relationships/hyperlink" Target="https://maps.google.com/?q=16.785642918966,-96.570197565668" TargetMode="External"/><Relationship Id="rId1729" Type="http://schemas.openxmlformats.org/officeDocument/2006/relationships/hyperlink" Target="https://maps.google.com/?q=16.797092,-96.459638" TargetMode="External"/><Relationship Id="rId1936" Type="http://schemas.openxmlformats.org/officeDocument/2006/relationships/hyperlink" Target="https://maps.google.com/?q=16.780121,-96.032773" TargetMode="External"/><Relationship Id="rId3151" Type="http://schemas.openxmlformats.org/officeDocument/2006/relationships/hyperlink" Target="https://maps.google.com/?q=16.783221924702,-96.567546566599" TargetMode="External"/><Relationship Id="rId3011" Type="http://schemas.openxmlformats.org/officeDocument/2006/relationships/hyperlink" Target="https://maps.google.com/?q=17.963037039338,-96.127029857899" TargetMode="External"/><Relationship Id="rId3968" Type="http://schemas.openxmlformats.org/officeDocument/2006/relationships/hyperlink" Target="https://maps.google.com/?q=16.89089388,-94.70334966" TargetMode="External"/><Relationship Id="rId5" Type="http://schemas.openxmlformats.org/officeDocument/2006/relationships/hyperlink" Target="https://maps.google.com/?q=16.426485192696,-97.641153636634" TargetMode="External"/><Relationship Id="rId889" Type="http://schemas.openxmlformats.org/officeDocument/2006/relationships/hyperlink" Target="https://maps.google.com/?q=17.123207679904,-96.759376888812" TargetMode="External"/><Relationship Id="rId2777" Type="http://schemas.openxmlformats.org/officeDocument/2006/relationships/hyperlink" Target="https://maps.google.com/?q=17.788202,-96.808563" TargetMode="External"/><Relationship Id="rId749" Type="http://schemas.openxmlformats.org/officeDocument/2006/relationships/hyperlink" Target="https://maps.google.com/?q=17.06296194079,-96.735235414188" TargetMode="External"/><Relationship Id="rId1379" Type="http://schemas.openxmlformats.org/officeDocument/2006/relationships/hyperlink" Target="https://maps.google.com/?q=17.040972966643,-97.944720484795" TargetMode="External"/><Relationship Id="rId1586" Type="http://schemas.openxmlformats.org/officeDocument/2006/relationships/hyperlink" Target="https://maps.google.com/?q=17.02683965,-96.712378" TargetMode="External"/><Relationship Id="rId2984" Type="http://schemas.openxmlformats.org/officeDocument/2006/relationships/hyperlink" Target="https://maps.google.com/?q=17.0614174155,-96.706215706" TargetMode="External"/><Relationship Id="rId3828" Type="http://schemas.openxmlformats.org/officeDocument/2006/relationships/hyperlink" Target="https://maps.google.com/?q=16.97234995743,-96.709374949341" TargetMode="External"/><Relationship Id="rId609" Type="http://schemas.openxmlformats.org/officeDocument/2006/relationships/hyperlink" Target="https://maps.google.com/?q=17.046891883361,-96.72330367177" TargetMode="External"/><Relationship Id="rId956" Type="http://schemas.openxmlformats.org/officeDocument/2006/relationships/hyperlink" Target="https://maps.google.com/?q=18.16406355154,-96.8754320892" TargetMode="External"/><Relationship Id="rId1239" Type="http://schemas.openxmlformats.org/officeDocument/2006/relationships/hyperlink" Target="https://maps.google.com/?q=16.109974231192,-97.243514049108" TargetMode="External"/><Relationship Id="rId1793" Type="http://schemas.openxmlformats.org/officeDocument/2006/relationships/hyperlink" Target="https://maps.google.com/?q=17.98701,-96.83201" TargetMode="External"/><Relationship Id="rId2637" Type="http://schemas.openxmlformats.org/officeDocument/2006/relationships/hyperlink" Target="https://maps.google.com/?q=17.059292,-96.740337" TargetMode="External"/><Relationship Id="rId2844" Type="http://schemas.openxmlformats.org/officeDocument/2006/relationships/hyperlink" Target="https://maps.google.com/?q=17.286008703354,-97.366068700908" TargetMode="External"/><Relationship Id="rId85" Type="http://schemas.openxmlformats.org/officeDocument/2006/relationships/hyperlink" Target="https://maps.google.com/?q=16.334594520959,-96.598246376282" TargetMode="External"/><Relationship Id="rId816" Type="http://schemas.openxmlformats.org/officeDocument/2006/relationships/hyperlink" Target="https://maps.google.com/?q=17.083643590217,-96.699749480383" TargetMode="External"/><Relationship Id="rId1446" Type="http://schemas.openxmlformats.org/officeDocument/2006/relationships/hyperlink" Target="https://maps.google.com/?q=16.950706,-96.750504" TargetMode="External"/><Relationship Id="rId1653" Type="http://schemas.openxmlformats.org/officeDocument/2006/relationships/hyperlink" Target="https://maps.google.com/?q=16.516386,-96.977432" TargetMode="External"/><Relationship Id="rId1860" Type="http://schemas.openxmlformats.org/officeDocument/2006/relationships/hyperlink" Target="https://maps.google.com/?q=16.069896207224,-96.30429387214" TargetMode="External"/><Relationship Id="rId2704" Type="http://schemas.openxmlformats.org/officeDocument/2006/relationships/hyperlink" Target="https://maps.google.com/?q=17.075431808346,-96.716148786885" TargetMode="External"/><Relationship Id="rId2911" Type="http://schemas.openxmlformats.org/officeDocument/2006/relationships/hyperlink" Target="https://maps.google.com/?q=16.805599,-97.804999" TargetMode="External"/><Relationship Id="rId1306" Type="http://schemas.openxmlformats.org/officeDocument/2006/relationships/hyperlink" Target="https://maps.google.com/?q=16.235423410722,-97.296376357494" TargetMode="External"/><Relationship Id="rId1513" Type="http://schemas.openxmlformats.org/officeDocument/2006/relationships/hyperlink" Target="https://maps.google.com/?q=16.519807,-96.983885" TargetMode="External"/><Relationship Id="rId1720" Type="http://schemas.openxmlformats.org/officeDocument/2006/relationships/hyperlink" Target="https://maps.google.com/?q=16.795449,-96.462633" TargetMode="External"/><Relationship Id="rId12" Type="http://schemas.openxmlformats.org/officeDocument/2006/relationships/hyperlink" Target="https://maps.google.com/?q=15.746144,-96.465183" TargetMode="External"/><Relationship Id="rId3478" Type="http://schemas.openxmlformats.org/officeDocument/2006/relationships/hyperlink" Target="https://maps.google.com/?q=16.789299928317,-96.551497573965" TargetMode="External"/><Relationship Id="rId3685" Type="http://schemas.openxmlformats.org/officeDocument/2006/relationships/hyperlink" Target="https://maps.google.com/?q=16.2070681,-97.527718" TargetMode="External"/><Relationship Id="rId3892" Type="http://schemas.openxmlformats.org/officeDocument/2006/relationships/hyperlink" Target="https://maps.google.com/?q=16.85759015,-94.73840091" TargetMode="External"/><Relationship Id="rId399" Type="http://schemas.openxmlformats.org/officeDocument/2006/relationships/hyperlink" Target="https://maps.google.com/?q=17.52037363604,-97.735904379133" TargetMode="External"/><Relationship Id="rId2287" Type="http://schemas.openxmlformats.org/officeDocument/2006/relationships/hyperlink" Target="https://maps.google.com/?q=17.35521386,-96.53341205" TargetMode="External"/><Relationship Id="rId2494" Type="http://schemas.openxmlformats.org/officeDocument/2006/relationships/hyperlink" Target="https://maps.google.com/?q=16.260727,-96.313433" TargetMode="External"/><Relationship Id="rId3338" Type="http://schemas.openxmlformats.org/officeDocument/2006/relationships/hyperlink" Target="https://maps.google.com/?q=16.785897926279,-96.570578563453" TargetMode="External"/><Relationship Id="rId3545" Type="http://schemas.openxmlformats.org/officeDocument/2006/relationships/hyperlink" Target="https://maps.google.com/?q=16.791090923351,-96.554383573625" TargetMode="External"/><Relationship Id="rId3752" Type="http://schemas.openxmlformats.org/officeDocument/2006/relationships/hyperlink" Target="https://maps.google.com/?q=16.2085081,-97.529567" TargetMode="External"/><Relationship Id="rId259" Type="http://schemas.openxmlformats.org/officeDocument/2006/relationships/hyperlink" Target="https://maps.google.com/?q=16.791625,-96.674999" TargetMode="External"/><Relationship Id="rId466" Type="http://schemas.openxmlformats.org/officeDocument/2006/relationships/hyperlink" Target="https://maps.google.com/?q=17.49000778822,-97.718056438693" TargetMode="External"/><Relationship Id="rId673" Type="http://schemas.openxmlformats.org/officeDocument/2006/relationships/hyperlink" Target="https://maps.google.com/?q=17.050979307235,-96.725308750635" TargetMode="External"/><Relationship Id="rId880" Type="http://schemas.openxmlformats.org/officeDocument/2006/relationships/hyperlink" Target="https://maps.google.com/?q=17.120317395593,-96.756968178236" TargetMode="External"/><Relationship Id="rId1096" Type="http://schemas.openxmlformats.org/officeDocument/2006/relationships/hyperlink" Target="https://maps.google.com/?q=17.071544120503,-96.715912270785" TargetMode="External"/><Relationship Id="rId2147" Type="http://schemas.openxmlformats.org/officeDocument/2006/relationships/hyperlink" Target="https://maps.google.com/?q=16.878559871936,-97.505158583069" TargetMode="External"/><Relationship Id="rId2354" Type="http://schemas.openxmlformats.org/officeDocument/2006/relationships/hyperlink" Target="https://maps.google.com/?q=17.37951012,-96.5042933" TargetMode="External"/><Relationship Id="rId2561" Type="http://schemas.openxmlformats.org/officeDocument/2006/relationships/hyperlink" Target="https://maps.google.com/?q=17.0879197293,-96.7376247144" TargetMode="External"/><Relationship Id="rId3405" Type="http://schemas.openxmlformats.org/officeDocument/2006/relationships/hyperlink" Target="https://maps.google.com/?q=16.786313921819,-96.557148574922" TargetMode="External"/><Relationship Id="rId119" Type="http://schemas.openxmlformats.org/officeDocument/2006/relationships/hyperlink" Target="https://maps.google.com/?q=16.689166,-95.526988" TargetMode="External"/><Relationship Id="rId326" Type="http://schemas.openxmlformats.org/officeDocument/2006/relationships/hyperlink" Target="https://maps.google.com/?q=17.028920063083,-97.647688957295" TargetMode="External"/><Relationship Id="rId533" Type="http://schemas.openxmlformats.org/officeDocument/2006/relationships/hyperlink" Target="https://maps.google.com/?q=17.071544120503,-96.715912270785" TargetMode="External"/><Relationship Id="rId1163" Type="http://schemas.openxmlformats.org/officeDocument/2006/relationships/hyperlink" Target="https://maps.google.com/?q=17.161764385854,-94.352705580357" TargetMode="External"/><Relationship Id="rId1370" Type="http://schemas.openxmlformats.org/officeDocument/2006/relationships/hyperlink" Target="https://maps.google.com/?q=17.280161236728,-96.012183499336" TargetMode="External"/><Relationship Id="rId2007" Type="http://schemas.openxmlformats.org/officeDocument/2006/relationships/hyperlink" Target="https://maps.google.com/?q=16.782953,-96.035014" TargetMode="External"/><Relationship Id="rId2214" Type="http://schemas.openxmlformats.org/officeDocument/2006/relationships/hyperlink" Target="https://maps.google.com/?q=16.644126046929,-96.570264489833" TargetMode="External"/><Relationship Id="rId3612" Type="http://schemas.openxmlformats.org/officeDocument/2006/relationships/hyperlink" Target="https://maps.google.com/?q=16.2054151,-97.530112" TargetMode="External"/><Relationship Id="rId740" Type="http://schemas.openxmlformats.org/officeDocument/2006/relationships/hyperlink" Target="https://maps.google.com/?q=17.0607836,-96.7057848" TargetMode="External"/><Relationship Id="rId1023" Type="http://schemas.openxmlformats.org/officeDocument/2006/relationships/hyperlink" Target="https://maps.google.com/?q=17.033431,-96.724356" TargetMode="External"/><Relationship Id="rId2421" Type="http://schemas.openxmlformats.org/officeDocument/2006/relationships/hyperlink" Target="https://maps.google.com/?q=16.250382,-96.344196" TargetMode="External"/><Relationship Id="rId600" Type="http://schemas.openxmlformats.org/officeDocument/2006/relationships/hyperlink" Target="https://maps.google.com/?q=17.04619188606,-96.718122730321" TargetMode="External"/><Relationship Id="rId1230" Type="http://schemas.openxmlformats.org/officeDocument/2006/relationships/hyperlink" Target="https://maps.google.com/?q=15.967747557326,-96.020038500664" TargetMode="External"/><Relationship Id="rId3195" Type="http://schemas.openxmlformats.org/officeDocument/2006/relationships/hyperlink" Target="https://maps.google.com/?q=16.784717924963,-96.569394569183" TargetMode="External"/><Relationship Id="rId3055" Type="http://schemas.openxmlformats.org/officeDocument/2006/relationships/hyperlink" Target="https://maps.google.com/?q=17.43916,-96.6184" TargetMode="External"/><Relationship Id="rId3262" Type="http://schemas.openxmlformats.org/officeDocument/2006/relationships/hyperlink" Target="https://maps.google.com/?q=16.785400921873,-96.569941567416" TargetMode="External"/><Relationship Id="rId183" Type="http://schemas.openxmlformats.org/officeDocument/2006/relationships/hyperlink" Target="https://maps.google.com/?q=17.276614877613,-97.67122424785" TargetMode="External"/><Relationship Id="rId390" Type="http://schemas.openxmlformats.org/officeDocument/2006/relationships/hyperlink" Target="https://maps.google.com/?q=17.51566,-97.741169" TargetMode="External"/><Relationship Id="rId1907" Type="http://schemas.openxmlformats.org/officeDocument/2006/relationships/hyperlink" Target="https://maps.google.com/?q=16.778972,-96.035953" TargetMode="External"/><Relationship Id="rId2071" Type="http://schemas.openxmlformats.org/officeDocument/2006/relationships/hyperlink" Target="https://maps.google.com/?q=16.785181,-96.031131" TargetMode="External"/><Relationship Id="rId3122" Type="http://schemas.openxmlformats.org/officeDocument/2006/relationships/hyperlink" Target="https://maps.google.com/?q=17.976441,-96.703404" TargetMode="External"/><Relationship Id="rId250" Type="http://schemas.openxmlformats.org/officeDocument/2006/relationships/hyperlink" Target="https://maps.google.com/?q=15.746144,-96.465183" TargetMode="External"/><Relationship Id="rId110" Type="http://schemas.openxmlformats.org/officeDocument/2006/relationships/hyperlink" Target="https://maps.google.com/?q=17.147146502498,-97.760764557534" TargetMode="External"/><Relationship Id="rId2888" Type="http://schemas.openxmlformats.org/officeDocument/2006/relationships/hyperlink" Target="https://maps.google.com/?q=17.057878257733,-96.826004845664" TargetMode="External"/><Relationship Id="rId3939" Type="http://schemas.openxmlformats.org/officeDocument/2006/relationships/hyperlink" Target="https://maps.google.com/?q=16.87215886,-94.72421301" TargetMode="External"/><Relationship Id="rId1697" Type="http://schemas.openxmlformats.org/officeDocument/2006/relationships/hyperlink" Target="https://maps.google.com/?q=16.524724,-96.977261" TargetMode="External"/><Relationship Id="rId2748" Type="http://schemas.openxmlformats.org/officeDocument/2006/relationships/hyperlink" Target="https://maps.google.com/?q=17.784862,-96.802362" TargetMode="External"/><Relationship Id="rId2955" Type="http://schemas.openxmlformats.org/officeDocument/2006/relationships/hyperlink" Target="https://maps.google.com/?q=17.648152708894,-96.914959873264" TargetMode="External"/><Relationship Id="rId927" Type="http://schemas.openxmlformats.org/officeDocument/2006/relationships/hyperlink" Target="https://maps.google.com/?q=17.061695,-96.725808" TargetMode="External"/><Relationship Id="rId1557" Type="http://schemas.openxmlformats.org/officeDocument/2006/relationships/hyperlink" Target="https://maps.google.com/?q=16.3367,-95.228165" TargetMode="External"/><Relationship Id="rId1764" Type="http://schemas.openxmlformats.org/officeDocument/2006/relationships/hyperlink" Target="https://maps.google.com/?q=17.025703643,-96.71296951" TargetMode="External"/><Relationship Id="rId1971" Type="http://schemas.openxmlformats.org/officeDocument/2006/relationships/hyperlink" Target="https://maps.google.com/?q=16.781317,-96.033119" TargetMode="External"/><Relationship Id="rId2608" Type="http://schemas.openxmlformats.org/officeDocument/2006/relationships/hyperlink" Target="https://maps.google.com/?q=17.0924975,-96.738534133" TargetMode="External"/><Relationship Id="rId2815" Type="http://schemas.openxmlformats.org/officeDocument/2006/relationships/hyperlink" Target="https://maps.google.com/?q=17.27746736109,-97.370581517575" TargetMode="External"/><Relationship Id="rId56" Type="http://schemas.openxmlformats.org/officeDocument/2006/relationships/hyperlink" Target="https://maps.google.com/?q=17.050019,-96.626028" TargetMode="External"/><Relationship Id="rId1417" Type="http://schemas.openxmlformats.org/officeDocument/2006/relationships/hyperlink" Target="https://maps.google.com/?q=16.500512,-96.10679" TargetMode="External"/><Relationship Id="rId1624" Type="http://schemas.openxmlformats.org/officeDocument/2006/relationships/hyperlink" Target="https://maps.google.com/?q=18.237284,-96.280833" TargetMode="External"/><Relationship Id="rId1831" Type="http://schemas.openxmlformats.org/officeDocument/2006/relationships/hyperlink" Target="https://maps.google.com/?q=17.927143192202,-97.676129530149" TargetMode="External"/><Relationship Id="rId3589" Type="http://schemas.openxmlformats.org/officeDocument/2006/relationships/hyperlink" Target="https://maps.google.com/?q=16.2050641,-97.529925" TargetMode="External"/><Relationship Id="rId3796" Type="http://schemas.openxmlformats.org/officeDocument/2006/relationships/hyperlink" Target="https://maps.google.com/?q=16.2095341,-97.527156" TargetMode="External"/><Relationship Id="rId2398" Type="http://schemas.openxmlformats.org/officeDocument/2006/relationships/hyperlink" Target="https://maps.google.com/?q=16.24923,-96.342388" TargetMode="External"/><Relationship Id="rId3449" Type="http://schemas.openxmlformats.org/officeDocument/2006/relationships/hyperlink" Target="https://maps.google.com/?q=16.788603923922,-96.552861574176" TargetMode="External"/><Relationship Id="rId577" Type="http://schemas.openxmlformats.org/officeDocument/2006/relationships/hyperlink" Target="https://maps.google.com/?q=17.043531164764,-96.720873065831" TargetMode="External"/><Relationship Id="rId2258" Type="http://schemas.openxmlformats.org/officeDocument/2006/relationships/hyperlink" Target="https://maps.google.com/?q=17.35093725,-96.53892427" TargetMode="External"/><Relationship Id="rId3656" Type="http://schemas.openxmlformats.org/officeDocument/2006/relationships/hyperlink" Target="https://maps.google.com/?q=16.2063021,-97.527549" TargetMode="External"/><Relationship Id="rId3863" Type="http://schemas.openxmlformats.org/officeDocument/2006/relationships/hyperlink" Target="https://maps.google.com/?q=17.033282643228,-96.728292832123" TargetMode="External"/><Relationship Id="rId784" Type="http://schemas.openxmlformats.org/officeDocument/2006/relationships/hyperlink" Target="https://maps.google.com/?q=17.081772468147,-96.695398880437" TargetMode="External"/><Relationship Id="rId991" Type="http://schemas.openxmlformats.org/officeDocument/2006/relationships/hyperlink" Target="https://maps.google.com/?q=17.463545,-97.349114" TargetMode="External"/><Relationship Id="rId1067" Type="http://schemas.openxmlformats.org/officeDocument/2006/relationships/hyperlink" Target="https://maps.google.com/?q=17.083086,-96.743721" TargetMode="External"/><Relationship Id="rId2465" Type="http://schemas.openxmlformats.org/officeDocument/2006/relationships/hyperlink" Target="https://maps.google.com/?q=16.254851,-96.337366" TargetMode="External"/><Relationship Id="rId2672" Type="http://schemas.openxmlformats.org/officeDocument/2006/relationships/hyperlink" Target="https://maps.google.com/?q=17.062418068578,-96.709531986565" TargetMode="External"/><Relationship Id="rId3309" Type="http://schemas.openxmlformats.org/officeDocument/2006/relationships/hyperlink" Target="https://maps.google.com/?q=16.785751924183,-96.571556567232" TargetMode="External"/><Relationship Id="rId3516" Type="http://schemas.openxmlformats.org/officeDocument/2006/relationships/hyperlink" Target="https://maps.google.com/?q=16.790630928326,-96.553624571317" TargetMode="External"/><Relationship Id="rId3723" Type="http://schemas.openxmlformats.org/officeDocument/2006/relationships/hyperlink" Target="https://maps.google.com/?q=16.2079721,-97.532299" TargetMode="External"/><Relationship Id="rId3930" Type="http://schemas.openxmlformats.org/officeDocument/2006/relationships/hyperlink" Target="https://maps.google.com/?q=16.86910633,-94.72615609" TargetMode="External"/><Relationship Id="rId437" Type="http://schemas.openxmlformats.org/officeDocument/2006/relationships/hyperlink" Target="https://maps.google.com/?q=17.508177,-97.709245" TargetMode="External"/><Relationship Id="rId644" Type="http://schemas.openxmlformats.org/officeDocument/2006/relationships/hyperlink" Target="https://maps.google.com/?q=17.049586560237,-96.724186394542" TargetMode="External"/><Relationship Id="rId851" Type="http://schemas.openxmlformats.org/officeDocument/2006/relationships/hyperlink" Target="https://maps.google.com/?q=17.086416233427,-96.696951598907" TargetMode="External"/><Relationship Id="rId1274" Type="http://schemas.openxmlformats.org/officeDocument/2006/relationships/hyperlink" Target="https://maps.google.com/?q=16.40195260929,-96.390394284725" TargetMode="External"/><Relationship Id="rId1481" Type="http://schemas.openxmlformats.org/officeDocument/2006/relationships/hyperlink" Target="https://maps.google.com/?q=18.13222,-97.070751" TargetMode="External"/><Relationship Id="rId2118" Type="http://schemas.openxmlformats.org/officeDocument/2006/relationships/hyperlink" Target="https://maps.google.com/?q=16.874820718095,-97.504221267335" TargetMode="External"/><Relationship Id="rId2325" Type="http://schemas.openxmlformats.org/officeDocument/2006/relationships/hyperlink" Target="https://maps.google.com/?q=17.37282989,-96.50819334" TargetMode="External"/><Relationship Id="rId2532" Type="http://schemas.openxmlformats.org/officeDocument/2006/relationships/hyperlink" Target="https://maps.google.com/?q=16.271432,-96.309383" TargetMode="External"/><Relationship Id="rId504" Type="http://schemas.openxmlformats.org/officeDocument/2006/relationships/hyperlink" Target="https://maps.google.com/?q=17.531275463778,-97.790331152115" TargetMode="External"/><Relationship Id="rId711" Type="http://schemas.openxmlformats.org/officeDocument/2006/relationships/hyperlink" Target="https://maps.google.com/?q=17.05545161872,-96.708314658102" TargetMode="External"/><Relationship Id="rId1134" Type="http://schemas.openxmlformats.org/officeDocument/2006/relationships/hyperlink" Target="https://maps.google.com/?q=16.664970758654,-94.717550179237" TargetMode="External"/><Relationship Id="rId1341" Type="http://schemas.openxmlformats.org/officeDocument/2006/relationships/hyperlink" Target="https://maps.google.com/?q=17.453889,-97.225278" TargetMode="External"/><Relationship Id="rId1201" Type="http://schemas.openxmlformats.org/officeDocument/2006/relationships/hyperlink" Target="https://maps.google.com/?q=16.95101516328,-96.752568004963" TargetMode="External"/><Relationship Id="rId3099" Type="http://schemas.openxmlformats.org/officeDocument/2006/relationships/hyperlink" Target="https://maps.google.com/?q=17.974148,-96.704264" TargetMode="External"/><Relationship Id="rId3166" Type="http://schemas.openxmlformats.org/officeDocument/2006/relationships/hyperlink" Target="https://maps.google.com/?q=16.783678925338,-96.56876756348" TargetMode="External"/><Relationship Id="rId3373" Type="http://schemas.openxmlformats.org/officeDocument/2006/relationships/hyperlink" Target="https://maps.google.com/?q=16.786010926704,-96.559463567881" TargetMode="External"/><Relationship Id="rId3580" Type="http://schemas.openxmlformats.org/officeDocument/2006/relationships/hyperlink" Target="https://maps.google.com/?q=16.2048191,-97.5275361" TargetMode="External"/><Relationship Id="rId294" Type="http://schemas.openxmlformats.org/officeDocument/2006/relationships/hyperlink" Target="https://maps.google.com/?q=16.639828,-95.517191" TargetMode="External"/><Relationship Id="rId2182" Type="http://schemas.openxmlformats.org/officeDocument/2006/relationships/hyperlink" Target="https://maps.google.com/?q=17.05114969,-96.63625967" TargetMode="External"/><Relationship Id="rId3026" Type="http://schemas.openxmlformats.org/officeDocument/2006/relationships/hyperlink" Target="https://maps.google.com/?q=16.299918,-96.770047" TargetMode="External"/><Relationship Id="rId3233" Type="http://schemas.openxmlformats.org/officeDocument/2006/relationships/hyperlink" Target="https://maps.google.com/?q=16.785155916792,-96.572054561209" TargetMode="External"/><Relationship Id="rId154" Type="http://schemas.openxmlformats.org/officeDocument/2006/relationships/hyperlink" Target="https://maps.google.com/?q=17.270497,-97.674631" TargetMode="External"/><Relationship Id="rId361" Type="http://schemas.openxmlformats.org/officeDocument/2006/relationships/hyperlink" Target="https://maps.google.com/?q=17.040574,-96.728167" TargetMode="External"/><Relationship Id="rId2042" Type="http://schemas.openxmlformats.org/officeDocument/2006/relationships/hyperlink" Target="https://maps.google.com/?q=16.783819,-96.031454" TargetMode="External"/><Relationship Id="rId3440" Type="http://schemas.openxmlformats.org/officeDocument/2006/relationships/hyperlink" Target="https://maps.google.com/?q=16.787842922249,-96.555889571375" TargetMode="External"/><Relationship Id="rId2999" Type="http://schemas.openxmlformats.org/officeDocument/2006/relationships/hyperlink" Target="https://maps.google.com/?q=15.959061420752,-96.769733921767" TargetMode="External"/><Relationship Id="rId3300" Type="http://schemas.openxmlformats.org/officeDocument/2006/relationships/hyperlink" Target="https://maps.google.com/?q=16.785684920983,-96.565310570882" TargetMode="External"/><Relationship Id="rId221" Type="http://schemas.openxmlformats.org/officeDocument/2006/relationships/hyperlink" Target="https://maps.google.com/?q=15.909150888475,-96.21566508911" TargetMode="External"/><Relationship Id="rId2859" Type="http://schemas.openxmlformats.org/officeDocument/2006/relationships/hyperlink" Target="https://maps.google.com/?q=17.289371347997,-97.369967291712" TargetMode="External"/><Relationship Id="rId1668" Type="http://schemas.openxmlformats.org/officeDocument/2006/relationships/hyperlink" Target="https://maps.google.com/?q=16.521273,-96.976417" TargetMode="External"/><Relationship Id="rId1875" Type="http://schemas.openxmlformats.org/officeDocument/2006/relationships/hyperlink" Target="https://maps.google.com/?q=16.071233140788,-96.303155002307" TargetMode="External"/><Relationship Id="rId2719" Type="http://schemas.openxmlformats.org/officeDocument/2006/relationships/hyperlink" Target="https://maps.google.com/?q=17.086033541901,-96.712219350679" TargetMode="External"/><Relationship Id="rId1528" Type="http://schemas.openxmlformats.org/officeDocument/2006/relationships/hyperlink" Target="https://maps.google.com/?q=17.458341,-97.225285" TargetMode="External"/><Relationship Id="rId2926" Type="http://schemas.openxmlformats.org/officeDocument/2006/relationships/hyperlink" Target="https://maps.google.com/?q=16.589232,-97.226427" TargetMode="External"/><Relationship Id="rId3090" Type="http://schemas.openxmlformats.org/officeDocument/2006/relationships/hyperlink" Target="https://maps.google.com/?q=17.970133,-96.69098" TargetMode="External"/><Relationship Id="rId1735" Type="http://schemas.openxmlformats.org/officeDocument/2006/relationships/hyperlink" Target="https://maps.google.com/?q=16.799726,-96.455018" TargetMode="External"/><Relationship Id="rId1942" Type="http://schemas.openxmlformats.org/officeDocument/2006/relationships/hyperlink" Target="https://maps.google.com/?q=16.780437,-96.033974" TargetMode="External"/><Relationship Id="rId4001" Type="http://schemas.openxmlformats.org/officeDocument/2006/relationships/hyperlink" Target="https://maps.google.com/?q=16.90020377,-94.69106212" TargetMode="External"/><Relationship Id="rId27" Type="http://schemas.openxmlformats.org/officeDocument/2006/relationships/hyperlink" Target="https://maps.google.com/?q=17.063778,-96.729971" TargetMode="External"/><Relationship Id="rId1802" Type="http://schemas.openxmlformats.org/officeDocument/2006/relationships/hyperlink" Target="https://maps.google.com/?q=17.986725,-96.840486" TargetMode="External"/><Relationship Id="rId3767" Type="http://schemas.openxmlformats.org/officeDocument/2006/relationships/hyperlink" Target="https://maps.google.com/?q=16.2088211,-97.529725" TargetMode="External"/><Relationship Id="rId3974" Type="http://schemas.openxmlformats.org/officeDocument/2006/relationships/hyperlink" Target="https://maps.google.com/?q=16.89376741,-94.70009037" TargetMode="External"/><Relationship Id="rId688" Type="http://schemas.openxmlformats.org/officeDocument/2006/relationships/hyperlink" Target="https://maps.google.com/?q=17.051573898154,-96.723033507475" TargetMode="External"/><Relationship Id="rId895" Type="http://schemas.openxmlformats.org/officeDocument/2006/relationships/hyperlink" Target="https://maps.google.com/?q=17.10764255,-96.76204919" TargetMode="External"/><Relationship Id="rId2369" Type="http://schemas.openxmlformats.org/officeDocument/2006/relationships/hyperlink" Target="https://maps.google.com/?q=17.38115959,-96.49968996" TargetMode="External"/><Relationship Id="rId2576" Type="http://schemas.openxmlformats.org/officeDocument/2006/relationships/hyperlink" Target="https://maps.google.com/?q=17.0895462557,-96.737081168" TargetMode="External"/><Relationship Id="rId2783" Type="http://schemas.openxmlformats.org/officeDocument/2006/relationships/hyperlink" Target="https://maps.google.com/?q=17.7886,-96.81267" TargetMode="External"/><Relationship Id="rId2990" Type="http://schemas.openxmlformats.org/officeDocument/2006/relationships/hyperlink" Target="https://maps.google.com/?q=17.556997888008,-97.812124980322" TargetMode="External"/><Relationship Id="rId3627" Type="http://schemas.openxmlformats.org/officeDocument/2006/relationships/hyperlink" Target="https://maps.google.com/?q=16.2055221,-97.527349" TargetMode="External"/><Relationship Id="rId3834" Type="http://schemas.openxmlformats.org/officeDocument/2006/relationships/hyperlink" Target="https://maps.google.com/?q=16.998925,-96.768025" TargetMode="External"/><Relationship Id="rId548" Type="http://schemas.openxmlformats.org/officeDocument/2006/relationships/hyperlink" Target="https://maps.google.com/?q=17.071544120503,-96.715912270785" TargetMode="External"/><Relationship Id="rId755" Type="http://schemas.openxmlformats.org/officeDocument/2006/relationships/hyperlink" Target="https://maps.google.com/?q=17.065278185514,-96.734659951904" TargetMode="External"/><Relationship Id="rId962" Type="http://schemas.openxmlformats.org/officeDocument/2006/relationships/hyperlink" Target="https://maps.google.com/?q=17.869066260155,-97.364435145951" TargetMode="External"/><Relationship Id="rId1178" Type="http://schemas.openxmlformats.org/officeDocument/2006/relationships/hyperlink" Target="https://maps.google.com/?q=18.149057403034,-96.50912542576" TargetMode="External"/><Relationship Id="rId1385" Type="http://schemas.openxmlformats.org/officeDocument/2006/relationships/hyperlink" Target="https://maps.google.com/?q=16.284093569487,-95.875363047955" TargetMode="External"/><Relationship Id="rId1592" Type="http://schemas.openxmlformats.org/officeDocument/2006/relationships/hyperlink" Target="https://maps.google.com/?q=17.0278178,-96.711554" TargetMode="External"/><Relationship Id="rId2229" Type="http://schemas.openxmlformats.org/officeDocument/2006/relationships/hyperlink" Target="https://maps.google.com/?q=16.566777,-96.753531" TargetMode="External"/><Relationship Id="rId2436" Type="http://schemas.openxmlformats.org/officeDocument/2006/relationships/hyperlink" Target="https://maps.google.com/?q=16.25237,-96.329104" TargetMode="External"/><Relationship Id="rId2643" Type="http://schemas.openxmlformats.org/officeDocument/2006/relationships/hyperlink" Target="https://maps.google.com/?q=16.462971,-97.997767" TargetMode="External"/><Relationship Id="rId2850" Type="http://schemas.openxmlformats.org/officeDocument/2006/relationships/hyperlink" Target="https://maps.google.com/?q=17.287437770804,-97.367906014079" TargetMode="External"/><Relationship Id="rId91" Type="http://schemas.openxmlformats.org/officeDocument/2006/relationships/hyperlink" Target="https://maps.google.com/?q=16.3408037993,-98.051202784169" TargetMode="External"/><Relationship Id="rId408" Type="http://schemas.openxmlformats.org/officeDocument/2006/relationships/hyperlink" Target="https://maps.google.com/?q=17.539493469952,-97.739566415924" TargetMode="External"/><Relationship Id="rId615" Type="http://schemas.openxmlformats.org/officeDocument/2006/relationships/hyperlink" Target="https://maps.google.com/?q=17.04733979907,-96.722537951061" TargetMode="External"/><Relationship Id="rId822" Type="http://schemas.openxmlformats.org/officeDocument/2006/relationships/hyperlink" Target="https://maps.google.com/?q=17.084159514299,-96.694237477252" TargetMode="External"/><Relationship Id="rId1038" Type="http://schemas.openxmlformats.org/officeDocument/2006/relationships/hyperlink" Target="https://maps.google.com/?q=16.791625,-96.674999" TargetMode="External"/><Relationship Id="rId1245" Type="http://schemas.openxmlformats.org/officeDocument/2006/relationships/hyperlink" Target="https://maps.google.com/?q=16.330667638701,-94.187382164001" TargetMode="External"/><Relationship Id="rId1452" Type="http://schemas.openxmlformats.org/officeDocument/2006/relationships/hyperlink" Target="https://maps.google.com/?q=15.746144,-96.465183" TargetMode="External"/><Relationship Id="rId2503" Type="http://schemas.openxmlformats.org/officeDocument/2006/relationships/hyperlink" Target="https://maps.google.com/?q=16.264341,-96.310771" TargetMode="External"/><Relationship Id="rId3901" Type="http://schemas.openxmlformats.org/officeDocument/2006/relationships/hyperlink" Target="https://maps.google.com/?q=16.86121345,-94.73522464" TargetMode="External"/><Relationship Id="rId1105" Type="http://schemas.openxmlformats.org/officeDocument/2006/relationships/hyperlink" Target="https://maps.google.com/?q=17.050591666667,-96.723063888889" TargetMode="External"/><Relationship Id="rId1312" Type="http://schemas.openxmlformats.org/officeDocument/2006/relationships/hyperlink" Target="https://maps.google.com/?q=15.716555092557,-96.594008872925" TargetMode="External"/><Relationship Id="rId2710" Type="http://schemas.openxmlformats.org/officeDocument/2006/relationships/hyperlink" Target="https://maps.google.com/?q=17.082439019251,-96.715269022329" TargetMode="External"/><Relationship Id="rId3277" Type="http://schemas.openxmlformats.org/officeDocument/2006/relationships/hyperlink" Target="https://maps.google.com/?q=16.785541927468,-96.564118565664" TargetMode="External"/><Relationship Id="rId198" Type="http://schemas.openxmlformats.org/officeDocument/2006/relationships/hyperlink" Target="https://maps.google.com/?q=15.905836321995,-96.219163862524" TargetMode="External"/><Relationship Id="rId2086" Type="http://schemas.openxmlformats.org/officeDocument/2006/relationships/hyperlink" Target="https://maps.google.com/?q=16.924351399802,-96.60418170629" TargetMode="External"/><Relationship Id="rId3484" Type="http://schemas.openxmlformats.org/officeDocument/2006/relationships/hyperlink" Target="https://maps.google.com/?q=16.789537928205,-96.553671572615" TargetMode="External"/><Relationship Id="rId3691" Type="http://schemas.openxmlformats.org/officeDocument/2006/relationships/hyperlink" Target="https://maps.google.com/?q=16.2072121,-97.527988" TargetMode="External"/><Relationship Id="rId2293" Type="http://schemas.openxmlformats.org/officeDocument/2006/relationships/hyperlink" Target="https://maps.google.com/?q=17.35535452,-96.53309979" TargetMode="External"/><Relationship Id="rId3137" Type="http://schemas.openxmlformats.org/officeDocument/2006/relationships/hyperlink" Target="https://maps.google.com/?q=16.776670711794,-96.584881271544" TargetMode="External"/><Relationship Id="rId3344" Type="http://schemas.openxmlformats.org/officeDocument/2006/relationships/hyperlink" Target="https://maps.google.com/?q=16.785912923217,-96.57327256944" TargetMode="External"/><Relationship Id="rId3551" Type="http://schemas.openxmlformats.org/officeDocument/2006/relationships/hyperlink" Target="https://maps.google.com/?q=16.791521926008,-96.551903572207" TargetMode="External"/><Relationship Id="rId265" Type="http://schemas.openxmlformats.org/officeDocument/2006/relationships/hyperlink" Target="https://maps.google.com/?q=17.063778,-96.729971" TargetMode="External"/><Relationship Id="rId472" Type="http://schemas.openxmlformats.org/officeDocument/2006/relationships/hyperlink" Target="https://maps.google.com/?q=17.491983680051,-97.717868617058" TargetMode="External"/><Relationship Id="rId2153" Type="http://schemas.openxmlformats.org/officeDocument/2006/relationships/hyperlink" Target="https://maps.google.com/?q=17.04887182,-96.63933851" TargetMode="External"/><Relationship Id="rId2360" Type="http://schemas.openxmlformats.org/officeDocument/2006/relationships/hyperlink" Target="https://maps.google.com/?q=17.38001263,-96.50330822" TargetMode="External"/><Relationship Id="rId3204" Type="http://schemas.openxmlformats.org/officeDocument/2006/relationships/hyperlink" Target="https://maps.google.com/?q=16.784843917508,-96.574475564977" TargetMode="External"/><Relationship Id="rId3411" Type="http://schemas.openxmlformats.org/officeDocument/2006/relationships/hyperlink" Target="https://maps.google.com/?q=16.78642092361,-96.560303569627" TargetMode="External"/><Relationship Id="rId125" Type="http://schemas.openxmlformats.org/officeDocument/2006/relationships/hyperlink" Target="https://maps.google.com/?q=17.272562,-97.672519" TargetMode="External"/><Relationship Id="rId332" Type="http://schemas.openxmlformats.org/officeDocument/2006/relationships/hyperlink" Target="https://maps.google.com/?q=17.027718208179,-97.665220624407" TargetMode="External"/><Relationship Id="rId2013" Type="http://schemas.openxmlformats.org/officeDocument/2006/relationships/hyperlink" Target="https://maps.google.com/?q=16.783065,-96.032486" TargetMode="External"/><Relationship Id="rId2220" Type="http://schemas.openxmlformats.org/officeDocument/2006/relationships/hyperlink" Target="https://maps.google.com/?q=16.64503590457,-96.576904058945" TargetMode="External"/><Relationship Id="rId1779" Type="http://schemas.openxmlformats.org/officeDocument/2006/relationships/hyperlink" Target="https://maps.google.com/?q=17.98431,-96.82667" TargetMode="External"/><Relationship Id="rId1986" Type="http://schemas.openxmlformats.org/officeDocument/2006/relationships/hyperlink" Target="https://maps.google.com/?q=16.781752,-96.03277" TargetMode="External"/><Relationship Id="rId1639" Type="http://schemas.openxmlformats.org/officeDocument/2006/relationships/hyperlink" Target="https://maps.google.com/?q=17.257160895371,-97.950529682209" TargetMode="External"/><Relationship Id="rId1846" Type="http://schemas.openxmlformats.org/officeDocument/2006/relationships/hyperlink" Target="https://maps.google.com/?q=16.146602712264,-96.350979680534" TargetMode="External"/><Relationship Id="rId3061" Type="http://schemas.openxmlformats.org/officeDocument/2006/relationships/hyperlink" Target="https://maps.google.com/?q=16.73325,-97.48123" TargetMode="External"/><Relationship Id="rId1706" Type="http://schemas.openxmlformats.org/officeDocument/2006/relationships/hyperlink" Target="https://maps.google.com/?q=16.525348,-96.978257" TargetMode="External"/><Relationship Id="rId1913" Type="http://schemas.openxmlformats.org/officeDocument/2006/relationships/hyperlink" Target="https://maps.google.com/?q=16.77915,-96.033638" TargetMode="External"/><Relationship Id="rId3878" Type="http://schemas.openxmlformats.org/officeDocument/2006/relationships/hyperlink" Target="https://maps.google.com/?q=16.948289361551,-96.715461279763" TargetMode="External"/><Relationship Id="rId799" Type="http://schemas.openxmlformats.org/officeDocument/2006/relationships/hyperlink" Target="https://maps.google.com/?q=17.082860916674,-96.694840411866" TargetMode="External"/><Relationship Id="rId2687" Type="http://schemas.openxmlformats.org/officeDocument/2006/relationships/hyperlink" Target="https://maps.google.com/?q=17.06504362171,-96.732886771004" TargetMode="External"/><Relationship Id="rId2894" Type="http://schemas.openxmlformats.org/officeDocument/2006/relationships/hyperlink" Target="https://maps.google.com/?q=17.061048924694,-96.824351540756" TargetMode="External"/><Relationship Id="rId3738" Type="http://schemas.openxmlformats.org/officeDocument/2006/relationships/hyperlink" Target="https://maps.google.com/?q=16.2082021,-97.527768" TargetMode="External"/><Relationship Id="rId659" Type="http://schemas.openxmlformats.org/officeDocument/2006/relationships/hyperlink" Target="https://maps.google.com/?q=17.0505313,-96.7081737" TargetMode="External"/><Relationship Id="rId866" Type="http://schemas.openxmlformats.org/officeDocument/2006/relationships/hyperlink" Target="https://maps.google.com/?q=17.115487468308,-96.768508261726" TargetMode="External"/><Relationship Id="rId1289" Type="http://schemas.openxmlformats.org/officeDocument/2006/relationships/hyperlink" Target="https://maps.google.com/?q=17.066752,-96.701014" TargetMode="External"/><Relationship Id="rId1496" Type="http://schemas.openxmlformats.org/officeDocument/2006/relationships/hyperlink" Target="https://maps.google.com/?q=17.061598661192,-96.723442640434" TargetMode="External"/><Relationship Id="rId2547" Type="http://schemas.openxmlformats.org/officeDocument/2006/relationships/hyperlink" Target="https://maps.google.com/?q=17.940979,-96.869034" TargetMode="External"/><Relationship Id="rId3945" Type="http://schemas.openxmlformats.org/officeDocument/2006/relationships/hyperlink" Target="https://maps.google.com/?q=16.87997548,-94.71232723" TargetMode="External"/><Relationship Id="rId519" Type="http://schemas.openxmlformats.org/officeDocument/2006/relationships/hyperlink" Target="https://maps.google.com/?q=16.861457651301,-95.427555354249" TargetMode="External"/><Relationship Id="rId1149" Type="http://schemas.openxmlformats.org/officeDocument/2006/relationships/hyperlink" Target="https://maps.google.com/?q=17.328792793238,-96.260014360783" TargetMode="External"/><Relationship Id="rId1356" Type="http://schemas.openxmlformats.org/officeDocument/2006/relationships/hyperlink" Target="https://maps.google.com/?q=17.327669367544,-95.848645868717" TargetMode="External"/><Relationship Id="rId2754" Type="http://schemas.openxmlformats.org/officeDocument/2006/relationships/hyperlink" Target="https://maps.google.com/?q=17.785356,-96.80213" TargetMode="External"/><Relationship Id="rId2961" Type="http://schemas.openxmlformats.org/officeDocument/2006/relationships/hyperlink" Target="https://maps.google.com/?q=17.840098124994,-97.013422125992" TargetMode="External"/><Relationship Id="rId3805" Type="http://schemas.openxmlformats.org/officeDocument/2006/relationships/hyperlink" Target="https://maps.google.com/?q=16.2101001,-97.528621" TargetMode="External"/><Relationship Id="rId726" Type="http://schemas.openxmlformats.org/officeDocument/2006/relationships/hyperlink" Target="https://maps.google.com/?q=17.058072413,-96.731605725281" TargetMode="External"/><Relationship Id="rId933" Type="http://schemas.openxmlformats.org/officeDocument/2006/relationships/hyperlink" Target="https://maps.google.com/?q=17.100544645744,-97.760142234428" TargetMode="External"/><Relationship Id="rId1009" Type="http://schemas.openxmlformats.org/officeDocument/2006/relationships/hyperlink" Target="https://maps.google.com/?q=17.466662,-97.359941" TargetMode="External"/><Relationship Id="rId1563" Type="http://schemas.openxmlformats.org/officeDocument/2006/relationships/hyperlink" Target="https://maps.google.com/?q=17.094371375938,-98.067271668687" TargetMode="External"/><Relationship Id="rId1770" Type="http://schemas.openxmlformats.org/officeDocument/2006/relationships/hyperlink" Target="https://maps.google.com/?q=17.02696873,-96.7121065" TargetMode="External"/><Relationship Id="rId2407" Type="http://schemas.openxmlformats.org/officeDocument/2006/relationships/hyperlink" Target="https://maps.google.com/?q=16.249553,-96.340885" TargetMode="External"/><Relationship Id="rId2614" Type="http://schemas.openxmlformats.org/officeDocument/2006/relationships/hyperlink" Target="https://maps.google.com/?q=17.09346403,-96.7392556" TargetMode="External"/><Relationship Id="rId2821" Type="http://schemas.openxmlformats.org/officeDocument/2006/relationships/hyperlink" Target="https://maps.google.com/?q=17.280527947561,-97.364956925273" TargetMode="External"/><Relationship Id="rId62" Type="http://schemas.openxmlformats.org/officeDocument/2006/relationships/hyperlink" Target="https://maps.google.com/?q=17.246139732993,-96.888437171943" TargetMode="External"/><Relationship Id="rId1216" Type="http://schemas.openxmlformats.org/officeDocument/2006/relationships/hyperlink" Target="https://maps.google.com/?q=17.226636222283,-96.778335682209" TargetMode="External"/><Relationship Id="rId1423" Type="http://schemas.openxmlformats.org/officeDocument/2006/relationships/hyperlink" Target="https://maps.google.com/?q=16.95558,-96.479206" TargetMode="External"/><Relationship Id="rId1630" Type="http://schemas.openxmlformats.org/officeDocument/2006/relationships/hyperlink" Target="https://maps.google.com/?q=16.736113,-96.658869" TargetMode="External"/><Relationship Id="rId3388" Type="http://schemas.openxmlformats.org/officeDocument/2006/relationships/hyperlink" Target="https://maps.google.com/?q=16.78608292794,-96.560638565726" TargetMode="External"/><Relationship Id="rId3595" Type="http://schemas.openxmlformats.org/officeDocument/2006/relationships/hyperlink" Target="https://maps.google.com/?q=16.205186,-97.528991" TargetMode="External"/><Relationship Id="rId2197" Type="http://schemas.openxmlformats.org/officeDocument/2006/relationships/hyperlink" Target="https://maps.google.com/?q=16.63588212377,-96.546648681053" TargetMode="External"/><Relationship Id="rId3248" Type="http://schemas.openxmlformats.org/officeDocument/2006/relationships/hyperlink" Target="https://maps.google.com/?q=16.785314919791,-96.563273569194" TargetMode="External"/><Relationship Id="rId3455" Type="http://schemas.openxmlformats.org/officeDocument/2006/relationships/hyperlink" Target="https://maps.google.com/?q=16.788655930371,-96.552234577428" TargetMode="External"/><Relationship Id="rId3662" Type="http://schemas.openxmlformats.org/officeDocument/2006/relationships/hyperlink" Target="https://maps.google.com/?q=16.2064811,-97.530008" TargetMode="External"/><Relationship Id="rId169" Type="http://schemas.openxmlformats.org/officeDocument/2006/relationships/hyperlink" Target="https://maps.google.com/?q=17.271553,-97.673044" TargetMode="External"/><Relationship Id="rId376" Type="http://schemas.openxmlformats.org/officeDocument/2006/relationships/hyperlink" Target="https://maps.google.com/?q=17.041772,-96.727843" TargetMode="External"/><Relationship Id="rId583" Type="http://schemas.openxmlformats.org/officeDocument/2006/relationships/hyperlink" Target="https://maps.google.com/?q=17.044230430106,-96.711220215288" TargetMode="External"/><Relationship Id="rId790" Type="http://schemas.openxmlformats.org/officeDocument/2006/relationships/hyperlink" Target="https://maps.google.com/?q=17.081994689053,-96.716376795123" TargetMode="External"/><Relationship Id="rId2057" Type="http://schemas.openxmlformats.org/officeDocument/2006/relationships/hyperlink" Target="https://maps.google.com/?q=16.784428,-96.03146" TargetMode="External"/><Relationship Id="rId2264" Type="http://schemas.openxmlformats.org/officeDocument/2006/relationships/hyperlink" Target="https://maps.google.com/?q=17.35170915,-96.53999556" TargetMode="External"/><Relationship Id="rId2471" Type="http://schemas.openxmlformats.org/officeDocument/2006/relationships/hyperlink" Target="https://maps.google.com/?q=16.255559,-96.323472" TargetMode="External"/><Relationship Id="rId3108" Type="http://schemas.openxmlformats.org/officeDocument/2006/relationships/hyperlink" Target="https://maps.google.com/?q=17.974873,-96.704434" TargetMode="External"/><Relationship Id="rId3315" Type="http://schemas.openxmlformats.org/officeDocument/2006/relationships/hyperlink" Target="https://maps.google.com/?q=16.785781927448,-96.564523571939" TargetMode="External"/><Relationship Id="rId3522" Type="http://schemas.openxmlformats.org/officeDocument/2006/relationships/hyperlink" Target="https://maps.google.com/?q=16.790763929784,-96.553707571096" TargetMode="External"/><Relationship Id="rId236" Type="http://schemas.openxmlformats.org/officeDocument/2006/relationships/hyperlink" Target="https://maps.google.com/?q=15.911582453794,-96.209537152808" TargetMode="External"/><Relationship Id="rId443" Type="http://schemas.openxmlformats.org/officeDocument/2006/relationships/hyperlink" Target="https://maps.google.com/?q=17.511876212613,-97.712384297768" TargetMode="External"/><Relationship Id="rId650" Type="http://schemas.openxmlformats.org/officeDocument/2006/relationships/hyperlink" Target="https://maps.google.com/?q=17.0500347,-96.7069149" TargetMode="External"/><Relationship Id="rId1073" Type="http://schemas.openxmlformats.org/officeDocument/2006/relationships/hyperlink" Target="https://maps.google.com/?q=17.093752,-96.748578" TargetMode="External"/><Relationship Id="rId1280" Type="http://schemas.openxmlformats.org/officeDocument/2006/relationships/hyperlink" Target="https://maps.google.com/?q=17.123861042192,-96.750849093254" TargetMode="External"/><Relationship Id="rId2124" Type="http://schemas.openxmlformats.org/officeDocument/2006/relationships/hyperlink" Target="https://maps.google.com/?q=16.87529267406,-97.504499126271" TargetMode="External"/><Relationship Id="rId2331" Type="http://schemas.openxmlformats.org/officeDocument/2006/relationships/hyperlink" Target="https://maps.google.com/?q=17.37467553,-96.50771686" TargetMode="External"/><Relationship Id="rId303" Type="http://schemas.openxmlformats.org/officeDocument/2006/relationships/hyperlink" Target="https://maps.google.com/?q=16.939719074222,-96.708161880357" TargetMode="External"/><Relationship Id="rId1140" Type="http://schemas.openxmlformats.org/officeDocument/2006/relationships/hyperlink" Target="https://maps.google.com/?q=15.920132868831,-96.417905970396" TargetMode="External"/><Relationship Id="rId510" Type="http://schemas.openxmlformats.org/officeDocument/2006/relationships/hyperlink" Target="https://maps.google.com/?q=17.532184627292,-97.792048510416" TargetMode="External"/><Relationship Id="rId1000" Type="http://schemas.openxmlformats.org/officeDocument/2006/relationships/hyperlink" Target="https://maps.google.com/?q=17.465041,-97.349722" TargetMode="External"/><Relationship Id="rId1957" Type="http://schemas.openxmlformats.org/officeDocument/2006/relationships/hyperlink" Target="https://maps.google.com/?q=16.780866,-96.03375" TargetMode="External"/><Relationship Id="rId1817" Type="http://schemas.openxmlformats.org/officeDocument/2006/relationships/hyperlink" Target="https://maps.google.com/?q=16.738140332925,-96.314863686484" TargetMode="External"/><Relationship Id="rId3172" Type="http://schemas.openxmlformats.org/officeDocument/2006/relationships/hyperlink" Target="https://maps.google.com/?q=16.783892922315,-96.566595569433" TargetMode="External"/><Relationship Id="rId3032" Type="http://schemas.openxmlformats.org/officeDocument/2006/relationships/hyperlink" Target="https://maps.google.com/?q=16.300139,-96.770457" TargetMode="External"/><Relationship Id="rId160" Type="http://schemas.openxmlformats.org/officeDocument/2006/relationships/hyperlink" Target="https://maps.google.com/?q=17.271117,-97.674063" TargetMode="External"/><Relationship Id="rId3989" Type="http://schemas.openxmlformats.org/officeDocument/2006/relationships/hyperlink" Target="https://maps.google.com/?q=16.89926823,-94.69600972" TargetMode="External"/><Relationship Id="rId2798" Type="http://schemas.openxmlformats.org/officeDocument/2006/relationships/hyperlink" Target="https://maps.google.com/?q=17.79161,-96.816867" TargetMode="External"/><Relationship Id="rId3849" Type="http://schemas.openxmlformats.org/officeDocument/2006/relationships/hyperlink" Target="https://maps.google.com/?q=17.024504408997,-96.710569562225" TargetMode="External"/><Relationship Id="rId977" Type="http://schemas.openxmlformats.org/officeDocument/2006/relationships/hyperlink" Target="https://maps.google.com/?q=16.092403,-97.257936" TargetMode="External"/><Relationship Id="rId2658" Type="http://schemas.openxmlformats.org/officeDocument/2006/relationships/hyperlink" Target="https://maps.google.com/?q=17.006976,-97.696875" TargetMode="External"/><Relationship Id="rId2865" Type="http://schemas.openxmlformats.org/officeDocument/2006/relationships/hyperlink" Target="https://maps.google.com/?q=17.292010456005,-97.368846128337" TargetMode="External"/><Relationship Id="rId3709" Type="http://schemas.openxmlformats.org/officeDocument/2006/relationships/hyperlink" Target="https://maps.google.com/?q=16.2077321,-97.530225" TargetMode="External"/><Relationship Id="rId3916" Type="http://schemas.openxmlformats.org/officeDocument/2006/relationships/hyperlink" Target="https://maps.google.com/?q=16.86185268,-94.7290838" TargetMode="External"/><Relationship Id="rId837" Type="http://schemas.openxmlformats.org/officeDocument/2006/relationships/hyperlink" Target="https://maps.google.com/?q=17.085074169199,-96.694513732096" TargetMode="External"/><Relationship Id="rId1467" Type="http://schemas.openxmlformats.org/officeDocument/2006/relationships/hyperlink" Target="https://maps.google.com/?q=17.063778,-96.729971" TargetMode="External"/><Relationship Id="rId1674" Type="http://schemas.openxmlformats.org/officeDocument/2006/relationships/hyperlink" Target="https://maps.google.com/?q=16.521809,-96.977638" TargetMode="External"/><Relationship Id="rId1881" Type="http://schemas.openxmlformats.org/officeDocument/2006/relationships/hyperlink" Target="https://maps.google.com/?q=17.984744,-97.689129" TargetMode="External"/><Relationship Id="rId2518" Type="http://schemas.openxmlformats.org/officeDocument/2006/relationships/hyperlink" Target="https://maps.google.com/?q=16.268443,-96.31017" TargetMode="External"/><Relationship Id="rId2725" Type="http://schemas.openxmlformats.org/officeDocument/2006/relationships/hyperlink" Target="https://maps.google.com/?q=17.06263420348,-96.708705489291" TargetMode="External"/><Relationship Id="rId2932" Type="http://schemas.openxmlformats.org/officeDocument/2006/relationships/hyperlink" Target="https://maps.google.com/?q=17.046669,-96.723181" TargetMode="External"/><Relationship Id="rId904" Type="http://schemas.openxmlformats.org/officeDocument/2006/relationships/hyperlink" Target="https://maps.google.com/?q=17.901379,-96.33592" TargetMode="External"/><Relationship Id="rId1327" Type="http://schemas.openxmlformats.org/officeDocument/2006/relationships/hyperlink" Target="https://maps.google.com/?q=16.311239693518,-95.261636712967" TargetMode="External"/><Relationship Id="rId1534" Type="http://schemas.openxmlformats.org/officeDocument/2006/relationships/hyperlink" Target="https://maps.google.com/?q=18.081169,-96.118475" TargetMode="External"/><Relationship Id="rId1741" Type="http://schemas.openxmlformats.org/officeDocument/2006/relationships/hyperlink" Target="https://maps.google.com/?q=16.800596,-96.455269" TargetMode="External"/><Relationship Id="rId33" Type="http://schemas.openxmlformats.org/officeDocument/2006/relationships/hyperlink" Target="https://maps.google.com/?q=17.361766,-95.922254" TargetMode="External"/><Relationship Id="rId1601" Type="http://schemas.openxmlformats.org/officeDocument/2006/relationships/hyperlink" Target="https://maps.google.com/?q=17.054825141041,-96.654702518545" TargetMode="External"/><Relationship Id="rId3499" Type="http://schemas.openxmlformats.org/officeDocument/2006/relationships/hyperlink" Target="https://maps.google.com/?q=16.790021930778,-96.553673576861" TargetMode="External"/><Relationship Id="rId3359" Type="http://schemas.openxmlformats.org/officeDocument/2006/relationships/hyperlink" Target="https://maps.google.com/?q=16.785935924147,-96.577060564875" TargetMode="External"/><Relationship Id="rId3566" Type="http://schemas.openxmlformats.org/officeDocument/2006/relationships/hyperlink" Target="https://maps.google.com/?q=16.203274,-97.527741" TargetMode="External"/><Relationship Id="rId487" Type="http://schemas.openxmlformats.org/officeDocument/2006/relationships/hyperlink" Target="https://maps.google.com/?q=17.533739785171,-97.720265661377" TargetMode="External"/><Relationship Id="rId694" Type="http://schemas.openxmlformats.org/officeDocument/2006/relationships/hyperlink" Target="https://maps.google.com/?q=17.05253012232,-96.714546225647" TargetMode="External"/><Relationship Id="rId2168" Type="http://schemas.openxmlformats.org/officeDocument/2006/relationships/hyperlink" Target="https://maps.google.com/?q=17.05002035,-96.63838983" TargetMode="External"/><Relationship Id="rId2375" Type="http://schemas.openxmlformats.org/officeDocument/2006/relationships/hyperlink" Target="https://maps.google.com/?q=17.162951740442,-97.587723850433" TargetMode="External"/><Relationship Id="rId3219" Type="http://schemas.openxmlformats.org/officeDocument/2006/relationships/hyperlink" Target="https://maps.google.com/?q=16.785010921334,-96.572568565565" TargetMode="External"/><Relationship Id="rId3773" Type="http://schemas.openxmlformats.org/officeDocument/2006/relationships/hyperlink" Target="https://maps.google.com/?q=16.2089201,-97.529864" TargetMode="External"/><Relationship Id="rId3980" Type="http://schemas.openxmlformats.org/officeDocument/2006/relationships/hyperlink" Target="https://maps.google.com/?q=16.89572011,-94.6967195" TargetMode="External"/><Relationship Id="rId347" Type="http://schemas.openxmlformats.org/officeDocument/2006/relationships/hyperlink" Target="https://maps.google.com/?q=16.98655517219,-97.656540864283" TargetMode="External"/><Relationship Id="rId1184" Type="http://schemas.openxmlformats.org/officeDocument/2006/relationships/hyperlink" Target="https://maps.google.com/?q=17.065975102509,-96.713886317791" TargetMode="External"/><Relationship Id="rId2028" Type="http://schemas.openxmlformats.org/officeDocument/2006/relationships/hyperlink" Target="https://maps.google.com/?q=16.783407,-96.031302" TargetMode="External"/><Relationship Id="rId2582" Type="http://schemas.openxmlformats.org/officeDocument/2006/relationships/hyperlink" Target="https://maps.google.com/?q=17.090087968575,-96.736761023372" TargetMode="External"/><Relationship Id="rId3426" Type="http://schemas.openxmlformats.org/officeDocument/2006/relationships/hyperlink" Target="https://maps.google.com/?q=16.786704927853,-96.556655567916" TargetMode="External"/><Relationship Id="rId3633" Type="http://schemas.openxmlformats.org/officeDocument/2006/relationships/hyperlink" Target="https://maps.google.com/?q=16.2055871,-97.528175" TargetMode="External"/><Relationship Id="rId3840" Type="http://schemas.openxmlformats.org/officeDocument/2006/relationships/hyperlink" Target="https://maps.google.com/?q=16.61905,-97.562234" TargetMode="External"/><Relationship Id="rId554" Type="http://schemas.openxmlformats.org/officeDocument/2006/relationships/hyperlink" Target="https://maps.google.com/?q=17.071544120503,-96.715912270785" TargetMode="External"/><Relationship Id="rId761" Type="http://schemas.openxmlformats.org/officeDocument/2006/relationships/hyperlink" Target="https://maps.google.com/?q=17.067287082317,-96.721448434016" TargetMode="External"/><Relationship Id="rId1391" Type="http://schemas.openxmlformats.org/officeDocument/2006/relationships/hyperlink" Target="https://maps.google.com/?q=17.011278,-96.7187647" TargetMode="External"/><Relationship Id="rId2235" Type="http://schemas.openxmlformats.org/officeDocument/2006/relationships/hyperlink" Target="https://maps.google.com/?q=17.34448305,-96.52971842" TargetMode="External"/><Relationship Id="rId2442" Type="http://schemas.openxmlformats.org/officeDocument/2006/relationships/hyperlink" Target="https://maps.google.com/?q=16.252717,-96.339187" TargetMode="External"/><Relationship Id="rId3700" Type="http://schemas.openxmlformats.org/officeDocument/2006/relationships/hyperlink" Target="https://maps.google.com/?q=16.2073701,-97.5308811" TargetMode="External"/><Relationship Id="rId207" Type="http://schemas.openxmlformats.org/officeDocument/2006/relationships/hyperlink" Target="https://maps.google.com/?q=15.906536423349,-96.219527543205" TargetMode="External"/><Relationship Id="rId414" Type="http://schemas.openxmlformats.org/officeDocument/2006/relationships/hyperlink" Target="https://maps.google.com/?q=17.539968548546,-97.738192126964" TargetMode="External"/><Relationship Id="rId621" Type="http://schemas.openxmlformats.org/officeDocument/2006/relationships/hyperlink" Target="https://maps.google.com/?q=17.04784445545,-96.726800519168" TargetMode="External"/><Relationship Id="rId1044" Type="http://schemas.openxmlformats.org/officeDocument/2006/relationships/hyperlink" Target="https://maps.google.com/?q=17.063778,-96.729971" TargetMode="External"/><Relationship Id="rId1251" Type="http://schemas.openxmlformats.org/officeDocument/2006/relationships/hyperlink" Target="https://maps.google.com/?q=17.148057364401,-97.599167949738" TargetMode="External"/><Relationship Id="rId2302" Type="http://schemas.openxmlformats.org/officeDocument/2006/relationships/hyperlink" Target="https://maps.google.com/?q=17.35674268,-96.52921558" TargetMode="External"/><Relationship Id="rId1111" Type="http://schemas.openxmlformats.org/officeDocument/2006/relationships/hyperlink" Target="https://maps.google.com/?q=17.078447594108,-96.711226860439" TargetMode="External"/><Relationship Id="rId3076" Type="http://schemas.openxmlformats.org/officeDocument/2006/relationships/hyperlink" Target="https://maps.google.com/?q=16.069467,-97.725828" TargetMode="External"/><Relationship Id="rId3283" Type="http://schemas.openxmlformats.org/officeDocument/2006/relationships/hyperlink" Target="https://maps.google.com/?q=16.785585925572,-96.565412569544" TargetMode="External"/><Relationship Id="rId3490" Type="http://schemas.openxmlformats.org/officeDocument/2006/relationships/hyperlink" Target="https://maps.google.com/?q=16.789765925105,-96.551580577929" TargetMode="External"/><Relationship Id="rId1928" Type="http://schemas.openxmlformats.org/officeDocument/2006/relationships/hyperlink" Target="https://maps.google.com/?q=16.77973,-96.032962" TargetMode="External"/><Relationship Id="rId2092" Type="http://schemas.openxmlformats.org/officeDocument/2006/relationships/hyperlink" Target="https://maps.google.com/?q=16.925240692429,-96.606157353979" TargetMode="External"/><Relationship Id="rId3143" Type="http://schemas.openxmlformats.org/officeDocument/2006/relationships/hyperlink" Target="https://maps.google.com/?q=16.78019887,-96.57757734" TargetMode="External"/><Relationship Id="rId3350" Type="http://schemas.openxmlformats.org/officeDocument/2006/relationships/hyperlink" Target="https://maps.google.com/?q=16.785924925612,-96.561164568155" TargetMode="External"/><Relationship Id="rId271" Type="http://schemas.openxmlformats.org/officeDocument/2006/relationships/hyperlink" Target="https://maps.google.com/?q=17.361766,-95.922254" TargetMode="External"/><Relationship Id="rId3003" Type="http://schemas.openxmlformats.org/officeDocument/2006/relationships/hyperlink" Target="https://maps.google.com/?q=17.288417202758,-98.014869090956" TargetMode="External"/><Relationship Id="rId131" Type="http://schemas.openxmlformats.org/officeDocument/2006/relationships/hyperlink" Target="https://maps.google.com/?q=17.273917,-97.672472" TargetMode="External"/><Relationship Id="rId3210" Type="http://schemas.openxmlformats.org/officeDocument/2006/relationships/hyperlink" Target="https://maps.google.com/?q=16.784912919044,-96.569583565404" TargetMode="External"/><Relationship Id="rId2769" Type="http://schemas.openxmlformats.org/officeDocument/2006/relationships/hyperlink" Target="https://maps.google.com/?q=17.787161,-96.805172" TargetMode="External"/><Relationship Id="rId2976" Type="http://schemas.openxmlformats.org/officeDocument/2006/relationships/hyperlink" Target="https://maps.google.com/?q=17.06041064219,-96.7054652504" TargetMode="External"/><Relationship Id="rId948" Type="http://schemas.openxmlformats.org/officeDocument/2006/relationships/hyperlink" Target="https://maps.google.com/?q=16.330621416905,-94.517401524326" TargetMode="External"/><Relationship Id="rId1578" Type="http://schemas.openxmlformats.org/officeDocument/2006/relationships/hyperlink" Target="https://maps.google.com/?q=17.060118147,-96.70531229" TargetMode="External"/><Relationship Id="rId1785" Type="http://schemas.openxmlformats.org/officeDocument/2006/relationships/hyperlink" Target="https://maps.google.com/?q=17.98486,-96.83227" TargetMode="External"/><Relationship Id="rId1992" Type="http://schemas.openxmlformats.org/officeDocument/2006/relationships/hyperlink" Target="https://maps.google.com/?q=16.782091,-96.032133" TargetMode="External"/><Relationship Id="rId2629" Type="http://schemas.openxmlformats.org/officeDocument/2006/relationships/hyperlink" Target="https://maps.google.com/?q=17.0421621977,-96.7211851519" TargetMode="External"/><Relationship Id="rId2836" Type="http://schemas.openxmlformats.org/officeDocument/2006/relationships/hyperlink" Target="https://maps.google.com/?q=17.284753778342,-97.37791735923" TargetMode="External"/><Relationship Id="rId77" Type="http://schemas.openxmlformats.org/officeDocument/2006/relationships/hyperlink" Target="https://maps.google.com/?q=15.723829231084,-96.151055129398" TargetMode="External"/><Relationship Id="rId808" Type="http://schemas.openxmlformats.org/officeDocument/2006/relationships/hyperlink" Target="https://maps.google.com/?q=17.083446807148,-96.696653873936" TargetMode="External"/><Relationship Id="rId1438" Type="http://schemas.openxmlformats.org/officeDocument/2006/relationships/hyperlink" Target="https://maps.google.com/?q=17.806621,-97.776162" TargetMode="External"/><Relationship Id="rId1645" Type="http://schemas.openxmlformats.org/officeDocument/2006/relationships/hyperlink" Target="https://maps.google.com/?q=17.099283,-96.703756" TargetMode="External"/><Relationship Id="rId1852" Type="http://schemas.openxmlformats.org/officeDocument/2006/relationships/hyperlink" Target="https://maps.google.com/?q=16.068310571243,-96.299846383289" TargetMode="External"/><Relationship Id="rId2903" Type="http://schemas.openxmlformats.org/officeDocument/2006/relationships/hyperlink" Target="https://maps.google.com/?q=17.556214,-96.566325" TargetMode="External"/><Relationship Id="rId1505" Type="http://schemas.openxmlformats.org/officeDocument/2006/relationships/hyperlink" Target="https://maps.google.com/?q=16.359865,-94.188156" TargetMode="External"/><Relationship Id="rId1712" Type="http://schemas.openxmlformats.org/officeDocument/2006/relationships/hyperlink" Target="https://maps.google.com/?q=16.526443,-96.977506" TargetMode="External"/><Relationship Id="rId3677" Type="http://schemas.openxmlformats.org/officeDocument/2006/relationships/hyperlink" Target="https://maps.google.com/?q=16.2070327,-97.5314199" TargetMode="External"/><Relationship Id="rId3884" Type="http://schemas.openxmlformats.org/officeDocument/2006/relationships/hyperlink" Target="https://maps.google.com/?q=17.24607792427,-96.888410547878" TargetMode="External"/><Relationship Id="rId598" Type="http://schemas.openxmlformats.org/officeDocument/2006/relationships/hyperlink" Target="https://maps.google.com/?q=17.046085805522,-96.718096794128" TargetMode="External"/><Relationship Id="rId2279" Type="http://schemas.openxmlformats.org/officeDocument/2006/relationships/hyperlink" Target="https://maps.google.com/?q=17.35374151,-96.52828706" TargetMode="External"/><Relationship Id="rId2486" Type="http://schemas.openxmlformats.org/officeDocument/2006/relationships/hyperlink" Target="https://maps.google.com/?q=16.257697,-96.316811" TargetMode="External"/><Relationship Id="rId2693" Type="http://schemas.openxmlformats.org/officeDocument/2006/relationships/hyperlink" Target="https://maps.google.com/?q=17.067917975113,-96.736376324933" TargetMode="External"/><Relationship Id="rId3537" Type="http://schemas.openxmlformats.org/officeDocument/2006/relationships/hyperlink" Target="https://maps.google.com/?q=16.790953926019,-96.554017574626" TargetMode="External"/><Relationship Id="rId3744" Type="http://schemas.openxmlformats.org/officeDocument/2006/relationships/hyperlink" Target="https://maps.google.com/?q=16.2083771,-97.528877" TargetMode="External"/><Relationship Id="rId3951" Type="http://schemas.openxmlformats.org/officeDocument/2006/relationships/hyperlink" Target="https://maps.google.com/?q=16.88207577,-94.7096995" TargetMode="External"/><Relationship Id="rId458" Type="http://schemas.openxmlformats.org/officeDocument/2006/relationships/hyperlink" Target="https://maps.google.com/?q=17.502333711348,-97.71888610503" TargetMode="External"/><Relationship Id="rId665" Type="http://schemas.openxmlformats.org/officeDocument/2006/relationships/hyperlink" Target="https://maps.google.com/?q=17.050707509472,-96.726253235194" TargetMode="External"/><Relationship Id="rId872" Type="http://schemas.openxmlformats.org/officeDocument/2006/relationships/hyperlink" Target="https://maps.google.com/?q=17.117139898334,-96.759057467221" TargetMode="External"/><Relationship Id="rId1088" Type="http://schemas.openxmlformats.org/officeDocument/2006/relationships/hyperlink" Target="https://maps.google.com/?q=17.121635,-96.763848" TargetMode="External"/><Relationship Id="rId1295" Type="http://schemas.openxmlformats.org/officeDocument/2006/relationships/hyperlink" Target="https://maps.google.com/?q=17.859379089834,-96.579636002308" TargetMode="External"/><Relationship Id="rId2139" Type="http://schemas.openxmlformats.org/officeDocument/2006/relationships/hyperlink" Target="https://maps.google.com/?q=16.877733094325,-97.505793946965" TargetMode="External"/><Relationship Id="rId2346" Type="http://schemas.openxmlformats.org/officeDocument/2006/relationships/hyperlink" Target="https://maps.google.com/?q=17.37923332,-96.50382674" TargetMode="External"/><Relationship Id="rId2553" Type="http://schemas.openxmlformats.org/officeDocument/2006/relationships/hyperlink" Target="https://maps.google.com/?q=17.041969,-96.722343" TargetMode="External"/><Relationship Id="rId2760" Type="http://schemas.openxmlformats.org/officeDocument/2006/relationships/hyperlink" Target="https://maps.google.com/?q=17.785707,-96.802152" TargetMode="External"/><Relationship Id="rId3604" Type="http://schemas.openxmlformats.org/officeDocument/2006/relationships/hyperlink" Target="https://maps.google.com/?q=16.2053537,-97.522045" TargetMode="External"/><Relationship Id="rId3811" Type="http://schemas.openxmlformats.org/officeDocument/2006/relationships/hyperlink" Target="https://maps.google.com/?q=16.2104691,-97.529452" TargetMode="External"/><Relationship Id="rId318" Type="http://schemas.openxmlformats.org/officeDocument/2006/relationships/hyperlink" Target="https://maps.google.com/?q=17.009221469205,-97.699521674492" TargetMode="External"/><Relationship Id="rId525" Type="http://schemas.openxmlformats.org/officeDocument/2006/relationships/hyperlink" Target="https://maps.google.com/?q=16.539071775879,-98.035577435464" TargetMode="External"/><Relationship Id="rId732" Type="http://schemas.openxmlformats.org/officeDocument/2006/relationships/hyperlink" Target="https://maps.google.com/?q=17.059312394142,-96.726157142718" TargetMode="External"/><Relationship Id="rId1155" Type="http://schemas.openxmlformats.org/officeDocument/2006/relationships/hyperlink" Target="https://maps.google.com/?q=17.257672816907,-97.691492656414" TargetMode="External"/><Relationship Id="rId1362" Type="http://schemas.openxmlformats.org/officeDocument/2006/relationships/hyperlink" Target="https://maps.google.com/?q=17.448526559891,-95.430623787697" TargetMode="External"/><Relationship Id="rId2206" Type="http://schemas.openxmlformats.org/officeDocument/2006/relationships/hyperlink" Target="https://maps.google.com/?q=16.641965493958,-96.583556142538" TargetMode="External"/><Relationship Id="rId2413" Type="http://schemas.openxmlformats.org/officeDocument/2006/relationships/hyperlink" Target="https://maps.google.com/?q=16.249796,-96.339438" TargetMode="External"/><Relationship Id="rId2620" Type="http://schemas.openxmlformats.org/officeDocument/2006/relationships/hyperlink" Target="https://maps.google.com/?q=17.0598392,-96.70459632" TargetMode="External"/><Relationship Id="rId1015" Type="http://schemas.openxmlformats.org/officeDocument/2006/relationships/hyperlink" Target="https://maps.google.com/?q=17.467444,-97.358277" TargetMode="External"/><Relationship Id="rId1222" Type="http://schemas.openxmlformats.org/officeDocument/2006/relationships/hyperlink" Target="https://maps.google.com/?q=16.973889,-96.504444" TargetMode="External"/><Relationship Id="rId3187" Type="http://schemas.openxmlformats.org/officeDocument/2006/relationships/hyperlink" Target="https://maps.google.com/?q=16.784596921251,-96.569427568573" TargetMode="External"/><Relationship Id="rId3394" Type="http://schemas.openxmlformats.org/officeDocument/2006/relationships/hyperlink" Target="https://maps.google.com/?q=16.786128928075,-96.557479574928" TargetMode="External"/><Relationship Id="rId3047" Type="http://schemas.openxmlformats.org/officeDocument/2006/relationships/hyperlink" Target="https://maps.google.com/?q=17.103967,-96.676016" TargetMode="External"/><Relationship Id="rId175" Type="http://schemas.openxmlformats.org/officeDocument/2006/relationships/hyperlink" Target="https://maps.google.com/?q=17.274906,-97.671646" TargetMode="External"/><Relationship Id="rId3254" Type="http://schemas.openxmlformats.org/officeDocument/2006/relationships/hyperlink" Target="https://maps.google.com/?q=16.785336922672,-96.56344057318" TargetMode="External"/><Relationship Id="rId3461" Type="http://schemas.openxmlformats.org/officeDocument/2006/relationships/hyperlink" Target="https://maps.google.com/?q=16.788710925757,-96.553259571544" TargetMode="External"/><Relationship Id="rId382" Type="http://schemas.openxmlformats.org/officeDocument/2006/relationships/hyperlink" Target="https://maps.google.com/?q=17.469895670658,-97.707199031624" TargetMode="External"/><Relationship Id="rId2063" Type="http://schemas.openxmlformats.org/officeDocument/2006/relationships/hyperlink" Target="https://maps.google.com/?q=16.78462,-96.030854" TargetMode="External"/><Relationship Id="rId2270" Type="http://schemas.openxmlformats.org/officeDocument/2006/relationships/hyperlink" Target="https://maps.google.com/?q=17.35237917,-96.53719326" TargetMode="External"/><Relationship Id="rId3114" Type="http://schemas.openxmlformats.org/officeDocument/2006/relationships/hyperlink" Target="https://maps.google.com/?q=17.975499,-96.705465" TargetMode="External"/><Relationship Id="rId3321" Type="http://schemas.openxmlformats.org/officeDocument/2006/relationships/hyperlink" Target="https://maps.google.com/?q=16.785805926324,-96.562021566188" TargetMode="External"/><Relationship Id="rId242" Type="http://schemas.openxmlformats.org/officeDocument/2006/relationships/hyperlink" Target="https://maps.google.com/?q=15.91289829449,-96.210722941318" TargetMode="External"/><Relationship Id="rId2130" Type="http://schemas.openxmlformats.org/officeDocument/2006/relationships/hyperlink" Target="https://maps.google.com/?q=16.876649322235,-97.505886944108" TargetMode="External"/><Relationship Id="rId102" Type="http://schemas.openxmlformats.org/officeDocument/2006/relationships/hyperlink" Target="https://maps.google.com/?q=16.557304256896,-96.817719164906" TargetMode="External"/><Relationship Id="rId1689" Type="http://schemas.openxmlformats.org/officeDocument/2006/relationships/hyperlink" Target="https://maps.google.com/?q=16.524099,-96.977989" TargetMode="External"/><Relationship Id="rId1896" Type="http://schemas.openxmlformats.org/officeDocument/2006/relationships/hyperlink" Target="https://maps.google.com/?q=16.778537,-96.033043" TargetMode="External"/><Relationship Id="rId2947" Type="http://schemas.openxmlformats.org/officeDocument/2006/relationships/hyperlink" Target="https://maps.google.com/?q=17.766633005188,-96.956651026045" TargetMode="External"/><Relationship Id="rId919" Type="http://schemas.openxmlformats.org/officeDocument/2006/relationships/hyperlink" Target="https://maps.google.com/?q=16.353838,-96.538302" TargetMode="External"/><Relationship Id="rId1549" Type="http://schemas.openxmlformats.org/officeDocument/2006/relationships/hyperlink" Target="https://maps.google.com/?q=17.427079,-97.309606" TargetMode="External"/><Relationship Id="rId1756" Type="http://schemas.openxmlformats.org/officeDocument/2006/relationships/hyperlink" Target="https://maps.google.com/?q=16.559973,-97.538183" TargetMode="External"/><Relationship Id="rId1963" Type="http://schemas.openxmlformats.org/officeDocument/2006/relationships/hyperlink" Target="https://maps.google.com/?q=16.781096,-96.032348" TargetMode="External"/><Relationship Id="rId2807" Type="http://schemas.openxmlformats.org/officeDocument/2006/relationships/hyperlink" Target="https://maps.google.com/?q=17.799722,-96.817636" TargetMode="External"/><Relationship Id="rId48" Type="http://schemas.openxmlformats.org/officeDocument/2006/relationships/hyperlink" Target="https://maps.google.com/?q=16.4386272,-95.0223297" TargetMode="External"/><Relationship Id="rId1409" Type="http://schemas.openxmlformats.org/officeDocument/2006/relationships/hyperlink" Target="https://maps.google.com/?q=17.065616,-96.723817" TargetMode="External"/><Relationship Id="rId1616" Type="http://schemas.openxmlformats.org/officeDocument/2006/relationships/hyperlink" Target="https://maps.google.com/?q=16.80141090804,-97.062955575054" TargetMode="External"/><Relationship Id="rId1823" Type="http://schemas.openxmlformats.org/officeDocument/2006/relationships/hyperlink" Target="https://maps.google.com/?q=17.021323,-96.716897" TargetMode="External"/><Relationship Id="rId3788" Type="http://schemas.openxmlformats.org/officeDocument/2006/relationships/hyperlink" Target="https://maps.google.com/?q=16.209176,-97.528617" TargetMode="External"/><Relationship Id="rId3995" Type="http://schemas.openxmlformats.org/officeDocument/2006/relationships/hyperlink" Target="https://maps.google.com/?q=16.89966438,-94.6918176" TargetMode="External"/><Relationship Id="rId2597" Type="http://schemas.openxmlformats.org/officeDocument/2006/relationships/hyperlink" Target="https://maps.google.com/?q=17.091369506311,-96.736616374704" TargetMode="External"/><Relationship Id="rId3648" Type="http://schemas.openxmlformats.org/officeDocument/2006/relationships/hyperlink" Target="https://maps.google.com/?q=16.2060271,-97.528732" TargetMode="External"/><Relationship Id="rId3855" Type="http://schemas.openxmlformats.org/officeDocument/2006/relationships/hyperlink" Target="https://maps.google.com/?q=17.028077905031,-96.710146080359" TargetMode="External"/><Relationship Id="rId569" Type="http://schemas.openxmlformats.org/officeDocument/2006/relationships/hyperlink" Target="https://maps.google.com/?q=17.042535030973,-96.719860096029" TargetMode="External"/><Relationship Id="rId776" Type="http://schemas.openxmlformats.org/officeDocument/2006/relationships/hyperlink" Target="https://maps.google.com/?q=17.076139729485,-96.741207642738" TargetMode="External"/><Relationship Id="rId983" Type="http://schemas.openxmlformats.org/officeDocument/2006/relationships/hyperlink" Target="https://maps.google.com/?q=17.092028,-97.116321" TargetMode="External"/><Relationship Id="rId1199" Type="http://schemas.openxmlformats.org/officeDocument/2006/relationships/hyperlink" Target="https://maps.google.com/?q=16.954940078266,-96.472949661377" TargetMode="External"/><Relationship Id="rId2457" Type="http://schemas.openxmlformats.org/officeDocument/2006/relationships/hyperlink" Target="https://maps.google.com/?q=16.254524,-96.335976" TargetMode="External"/><Relationship Id="rId2664" Type="http://schemas.openxmlformats.org/officeDocument/2006/relationships/hyperlink" Target="https://maps.google.com/?q=17.060736000809,-96.713551094159" TargetMode="External"/><Relationship Id="rId3508" Type="http://schemas.openxmlformats.org/officeDocument/2006/relationships/hyperlink" Target="https://maps.google.com/?q=16.790357923153,-96.553625574786" TargetMode="External"/><Relationship Id="rId429" Type="http://schemas.openxmlformats.org/officeDocument/2006/relationships/hyperlink" Target="https://maps.google.com/?q=17.501648609682,-97.707132341104" TargetMode="External"/><Relationship Id="rId636" Type="http://schemas.openxmlformats.org/officeDocument/2006/relationships/hyperlink" Target="https://maps.google.com/?q=17.048877966363,-96.716762863841" TargetMode="External"/><Relationship Id="rId1059" Type="http://schemas.openxmlformats.org/officeDocument/2006/relationships/hyperlink" Target="https://maps.google.com/?q=17.049482501044,-96.727451917581" TargetMode="External"/><Relationship Id="rId1266" Type="http://schemas.openxmlformats.org/officeDocument/2006/relationships/hyperlink" Target="https://maps.google.com/?q=17.806554991631,-96.217209538692" TargetMode="External"/><Relationship Id="rId1473" Type="http://schemas.openxmlformats.org/officeDocument/2006/relationships/hyperlink" Target="https://maps.google.com/?q=17.361766,-95.922254" TargetMode="External"/><Relationship Id="rId2317" Type="http://schemas.openxmlformats.org/officeDocument/2006/relationships/hyperlink" Target="https://maps.google.com/?q=17.36873632,-96.50803239" TargetMode="External"/><Relationship Id="rId2871" Type="http://schemas.openxmlformats.org/officeDocument/2006/relationships/hyperlink" Target="https://maps.google.com/?q=17.055815658433,-96.820580166662" TargetMode="External"/><Relationship Id="rId3715" Type="http://schemas.openxmlformats.org/officeDocument/2006/relationships/hyperlink" Target="https://maps.google.com/?q=16.2077911,-97.527824" TargetMode="External"/><Relationship Id="rId3922" Type="http://schemas.openxmlformats.org/officeDocument/2006/relationships/hyperlink" Target="https://maps.google.com/?q=16.86341525,-94.72809389" TargetMode="External"/><Relationship Id="rId843" Type="http://schemas.openxmlformats.org/officeDocument/2006/relationships/hyperlink" Target="https://maps.google.com/?q=17.085598145438,-96.694054976399" TargetMode="External"/><Relationship Id="rId1126" Type="http://schemas.openxmlformats.org/officeDocument/2006/relationships/hyperlink" Target="https://maps.google.com/?q=17.064121612587,-96.704081322715" TargetMode="External"/><Relationship Id="rId1680" Type="http://schemas.openxmlformats.org/officeDocument/2006/relationships/hyperlink" Target="https://maps.google.com/?q=16.522806,-96.97841" TargetMode="External"/><Relationship Id="rId2524" Type="http://schemas.openxmlformats.org/officeDocument/2006/relationships/hyperlink" Target="https://maps.google.com/?q=16.270667,-96.31011" TargetMode="External"/><Relationship Id="rId2731" Type="http://schemas.openxmlformats.org/officeDocument/2006/relationships/hyperlink" Target="https://maps.google.com/?q=17.063567551906,-96.704483692302" TargetMode="External"/><Relationship Id="rId703" Type="http://schemas.openxmlformats.org/officeDocument/2006/relationships/hyperlink" Target="https://maps.google.com/?q=17.052920454644,-96.716097984936" TargetMode="External"/><Relationship Id="rId910" Type="http://schemas.openxmlformats.org/officeDocument/2006/relationships/hyperlink" Target="https://maps.google.com/?q=17.912681,-96.346331" TargetMode="External"/><Relationship Id="rId1333" Type="http://schemas.openxmlformats.org/officeDocument/2006/relationships/hyperlink" Target="https://maps.google.com/?q=18.136501318297,-97.672826279762" TargetMode="External"/><Relationship Id="rId1540" Type="http://schemas.openxmlformats.org/officeDocument/2006/relationships/hyperlink" Target="https://maps.google.com/?q=17.422208,-97.31591" TargetMode="External"/><Relationship Id="rId1400" Type="http://schemas.openxmlformats.org/officeDocument/2006/relationships/hyperlink" Target="https://maps.google.com/?q=17.502616,-95.996214" TargetMode="External"/><Relationship Id="rId3298" Type="http://schemas.openxmlformats.org/officeDocument/2006/relationships/hyperlink" Target="https://maps.google.com/?q=16.785657922527,-96.565039564255" TargetMode="External"/><Relationship Id="rId3158" Type="http://schemas.openxmlformats.org/officeDocument/2006/relationships/hyperlink" Target="https://maps.google.com/?q=16.78333491859,-96.567115564066" TargetMode="External"/><Relationship Id="rId3365" Type="http://schemas.openxmlformats.org/officeDocument/2006/relationships/hyperlink" Target="https://maps.google.com/?q=16.785962920464,-96.561566570401" TargetMode="External"/><Relationship Id="rId3572" Type="http://schemas.openxmlformats.org/officeDocument/2006/relationships/hyperlink" Target="https://maps.google.com/?q=16.2043461,-97.528749" TargetMode="External"/><Relationship Id="rId286" Type="http://schemas.openxmlformats.org/officeDocument/2006/relationships/hyperlink" Target="https://maps.google.com/?q=17.988555,-96.835377" TargetMode="External"/><Relationship Id="rId493" Type="http://schemas.openxmlformats.org/officeDocument/2006/relationships/hyperlink" Target="https://maps.google.com/?q=17.537012,-97.721562" TargetMode="External"/><Relationship Id="rId2174" Type="http://schemas.openxmlformats.org/officeDocument/2006/relationships/hyperlink" Target="https://maps.google.com/?q=17.05040729,-96.63808622" TargetMode="External"/><Relationship Id="rId2381" Type="http://schemas.openxmlformats.org/officeDocument/2006/relationships/hyperlink" Target="https://maps.google.com/?q=16.245336,-96.346218" TargetMode="External"/><Relationship Id="rId3018" Type="http://schemas.openxmlformats.org/officeDocument/2006/relationships/hyperlink" Target="https://maps.google.com/?q=16.299446,-96.770664" TargetMode="External"/><Relationship Id="rId3225" Type="http://schemas.openxmlformats.org/officeDocument/2006/relationships/hyperlink" Target="https://maps.google.com/?q=16.785067923151,-96.575911564844" TargetMode="External"/><Relationship Id="rId3432" Type="http://schemas.openxmlformats.org/officeDocument/2006/relationships/hyperlink" Target="https://maps.google.com/?q=16.786960929335,-96.556312574052" TargetMode="External"/><Relationship Id="rId146" Type="http://schemas.openxmlformats.org/officeDocument/2006/relationships/hyperlink" Target="https://maps.google.com/?q=17.269527,-97.674168" TargetMode="External"/><Relationship Id="rId353" Type="http://schemas.openxmlformats.org/officeDocument/2006/relationships/hyperlink" Target="https://maps.google.com/?q=17.017319325176,-97.660058004698" TargetMode="External"/><Relationship Id="rId560" Type="http://schemas.openxmlformats.org/officeDocument/2006/relationships/hyperlink" Target="https://maps.google.com/?q=17.063696,-96.729601" TargetMode="External"/><Relationship Id="rId1190" Type="http://schemas.openxmlformats.org/officeDocument/2006/relationships/hyperlink" Target="https://maps.google.com/?q=17.208267369724,-96.813883635582" TargetMode="External"/><Relationship Id="rId2034" Type="http://schemas.openxmlformats.org/officeDocument/2006/relationships/hyperlink" Target="https://maps.google.com/?q=16.783588,-96.031091" TargetMode="External"/><Relationship Id="rId2241" Type="http://schemas.openxmlformats.org/officeDocument/2006/relationships/hyperlink" Target="https://maps.google.com/?q=17.34881208,-96.53065737" TargetMode="External"/><Relationship Id="rId213" Type="http://schemas.openxmlformats.org/officeDocument/2006/relationships/hyperlink" Target="https://maps.google.com/?q=15.90833927731,-96.217860158371" TargetMode="External"/><Relationship Id="rId420" Type="http://schemas.openxmlformats.org/officeDocument/2006/relationships/hyperlink" Target="https://maps.google.com/?q=17.498389851218,-97.728091203474" TargetMode="External"/><Relationship Id="rId1050" Type="http://schemas.openxmlformats.org/officeDocument/2006/relationships/hyperlink" Target="https://maps.google.com/?q=17.361766,-95.922254" TargetMode="External"/><Relationship Id="rId2101" Type="http://schemas.openxmlformats.org/officeDocument/2006/relationships/hyperlink" Target="https://maps.google.com/?q=16.928471642833,-96.601926889554" TargetMode="External"/><Relationship Id="rId1867" Type="http://schemas.openxmlformats.org/officeDocument/2006/relationships/hyperlink" Target="https://maps.google.com/?q=16.07088797605,-96.303191097929" TargetMode="External"/><Relationship Id="rId2918" Type="http://schemas.openxmlformats.org/officeDocument/2006/relationships/hyperlink" Target="https://maps.google.com/?q=16.534975,-97.8491527" TargetMode="External"/><Relationship Id="rId1727" Type="http://schemas.openxmlformats.org/officeDocument/2006/relationships/hyperlink" Target="https://maps.google.com/?q=16.79696,-96.461403" TargetMode="External"/><Relationship Id="rId1934" Type="http://schemas.openxmlformats.org/officeDocument/2006/relationships/hyperlink" Target="https://maps.google.com/?q=16.78002,-96.03577" TargetMode="External"/><Relationship Id="rId3082" Type="http://schemas.openxmlformats.org/officeDocument/2006/relationships/hyperlink" Target="https://maps.google.com/?q=16.167302,-97.750023" TargetMode="External"/><Relationship Id="rId19" Type="http://schemas.openxmlformats.org/officeDocument/2006/relationships/hyperlink" Target="https://maps.google.com/?q=16.519807,-96.983885" TargetMode="External"/><Relationship Id="rId3899" Type="http://schemas.openxmlformats.org/officeDocument/2006/relationships/hyperlink" Target="https://maps.google.com/?q=16.86041974,-94.73611828" TargetMode="External"/><Relationship Id="rId3759" Type="http://schemas.openxmlformats.org/officeDocument/2006/relationships/hyperlink" Target="https://maps.google.com/?q=16.2085881,-97.529398" TargetMode="External"/><Relationship Id="rId3966" Type="http://schemas.openxmlformats.org/officeDocument/2006/relationships/hyperlink" Target="https://maps.google.com/?q=16.89041568,-94.70434964" TargetMode="External"/><Relationship Id="rId3" Type="http://schemas.openxmlformats.org/officeDocument/2006/relationships/hyperlink" Target="https://maps.google.com/?q=17.609985150623,-97.68444527119" TargetMode="External"/><Relationship Id="rId887" Type="http://schemas.openxmlformats.org/officeDocument/2006/relationships/hyperlink" Target="https://maps.google.com/?q=17.122641030226,-96.76409792836" TargetMode="External"/><Relationship Id="rId2568" Type="http://schemas.openxmlformats.org/officeDocument/2006/relationships/hyperlink" Target="https://maps.google.com/?q=17.0888394378,-96.737634931" TargetMode="External"/><Relationship Id="rId2775" Type="http://schemas.openxmlformats.org/officeDocument/2006/relationships/hyperlink" Target="https://maps.google.com/?q=17.787793,-96.807531" TargetMode="External"/><Relationship Id="rId2982" Type="http://schemas.openxmlformats.org/officeDocument/2006/relationships/hyperlink" Target="https://maps.google.com/?q=17.06123310142,-96.7060747824" TargetMode="External"/><Relationship Id="rId3619" Type="http://schemas.openxmlformats.org/officeDocument/2006/relationships/hyperlink" Target="https://maps.google.com/?q=16.2054541,-97.5249891" TargetMode="External"/><Relationship Id="rId3826" Type="http://schemas.openxmlformats.org/officeDocument/2006/relationships/hyperlink" Target="https://maps.google.com/?q=16.2142761,-97.529901" TargetMode="External"/><Relationship Id="rId747" Type="http://schemas.openxmlformats.org/officeDocument/2006/relationships/hyperlink" Target="https://maps.google.com/?q=17.061982025915,-96.731922314655" TargetMode="External"/><Relationship Id="rId954" Type="http://schemas.openxmlformats.org/officeDocument/2006/relationships/hyperlink" Target="https://maps.google.com/?q=16.489601868264,-95.159631108707" TargetMode="External"/><Relationship Id="rId1377" Type="http://schemas.openxmlformats.org/officeDocument/2006/relationships/hyperlink" Target="https://maps.google.com/?q=16.144667952347,-96.343658126953" TargetMode="External"/><Relationship Id="rId1584" Type="http://schemas.openxmlformats.org/officeDocument/2006/relationships/hyperlink" Target="https://maps.google.com/?q=17.02649272,-96.7128279" TargetMode="External"/><Relationship Id="rId1791" Type="http://schemas.openxmlformats.org/officeDocument/2006/relationships/hyperlink" Target="https://maps.google.com/?q=17.98687,-96.83141" TargetMode="External"/><Relationship Id="rId2428" Type="http://schemas.openxmlformats.org/officeDocument/2006/relationships/hyperlink" Target="https://maps.google.com/?q=16.250698,-96.34496" TargetMode="External"/><Relationship Id="rId2635" Type="http://schemas.openxmlformats.org/officeDocument/2006/relationships/hyperlink" Target="https://maps.google.com/?q=17.043202257348,-96.721023315075" TargetMode="External"/><Relationship Id="rId2842" Type="http://schemas.openxmlformats.org/officeDocument/2006/relationships/hyperlink" Target="https://maps.google.com/?q=17.285638521682,-97.363748032385" TargetMode="External"/><Relationship Id="rId83" Type="http://schemas.openxmlformats.org/officeDocument/2006/relationships/hyperlink" Target="https://maps.google.com/?q=17.126349585836,-96.767935762613" TargetMode="External"/><Relationship Id="rId607" Type="http://schemas.openxmlformats.org/officeDocument/2006/relationships/hyperlink" Target="https://maps.google.com/?q=17.046649631659,-96.723137463939" TargetMode="External"/><Relationship Id="rId814" Type="http://schemas.openxmlformats.org/officeDocument/2006/relationships/hyperlink" Target="https://maps.google.com/?q=17.083631161417,-96.698947701107" TargetMode="External"/><Relationship Id="rId1237" Type="http://schemas.openxmlformats.org/officeDocument/2006/relationships/hyperlink" Target="https://maps.google.com/?q=16.28371135183,-97.823772882278" TargetMode="External"/><Relationship Id="rId1444" Type="http://schemas.openxmlformats.org/officeDocument/2006/relationships/hyperlink" Target="https://maps.google.com/?q=16.500512,-96.10679" TargetMode="External"/><Relationship Id="rId1651" Type="http://schemas.openxmlformats.org/officeDocument/2006/relationships/hyperlink" Target="https://maps.google.com/?q=16.515963,-96.977587" TargetMode="External"/><Relationship Id="rId2702" Type="http://schemas.openxmlformats.org/officeDocument/2006/relationships/hyperlink" Target="https://maps.google.com/?q=17.074083974438,-96.715128845854" TargetMode="External"/><Relationship Id="rId1304" Type="http://schemas.openxmlformats.org/officeDocument/2006/relationships/hyperlink" Target="https://maps.google.com/?q=16.287375186631,-98.024663208668" TargetMode="External"/><Relationship Id="rId1511" Type="http://schemas.openxmlformats.org/officeDocument/2006/relationships/hyperlink" Target="https://maps.google.com/?q=16.433347,-95.021687" TargetMode="External"/><Relationship Id="rId3269" Type="http://schemas.openxmlformats.org/officeDocument/2006/relationships/hyperlink" Target="https://maps.google.com/?q=16.785459923077,-96.57001256949" TargetMode="External"/><Relationship Id="rId3476" Type="http://schemas.openxmlformats.org/officeDocument/2006/relationships/hyperlink" Target="https://maps.google.com/?q=16.789273924418,-96.554741570013" TargetMode="External"/><Relationship Id="rId3683" Type="http://schemas.openxmlformats.org/officeDocument/2006/relationships/hyperlink" Target="https://maps.google.com/?q=16.2070601,-97.5290151" TargetMode="External"/><Relationship Id="rId10" Type="http://schemas.openxmlformats.org/officeDocument/2006/relationships/hyperlink" Target="https://maps.google.com/?q=16.985646333095,-96.471552240394" TargetMode="External"/><Relationship Id="rId397" Type="http://schemas.openxmlformats.org/officeDocument/2006/relationships/hyperlink" Target="https://maps.google.com/?q=17.520260030472,-97.736393906746" TargetMode="External"/><Relationship Id="rId2078" Type="http://schemas.openxmlformats.org/officeDocument/2006/relationships/hyperlink" Target="https://maps.google.com/?q=16.785969,-96.030398" TargetMode="External"/><Relationship Id="rId2285" Type="http://schemas.openxmlformats.org/officeDocument/2006/relationships/hyperlink" Target="https://maps.google.com/?q=17.35455049,-96.5360168" TargetMode="External"/><Relationship Id="rId2492" Type="http://schemas.openxmlformats.org/officeDocument/2006/relationships/hyperlink" Target="https://maps.google.com/?q=16.259738,-96.315121" TargetMode="External"/><Relationship Id="rId3129" Type="http://schemas.openxmlformats.org/officeDocument/2006/relationships/hyperlink" Target="https://maps.google.com/?q=17.977312,-96.705271" TargetMode="External"/><Relationship Id="rId3336" Type="http://schemas.openxmlformats.org/officeDocument/2006/relationships/hyperlink" Target="https://maps.google.com/?q=16.785895919996,-96.573415569509" TargetMode="External"/><Relationship Id="rId3890" Type="http://schemas.openxmlformats.org/officeDocument/2006/relationships/hyperlink" Target="https://maps.google.com/?q=16.85747409,-94.73930071" TargetMode="External"/><Relationship Id="rId257" Type="http://schemas.openxmlformats.org/officeDocument/2006/relationships/hyperlink" Target="https://maps.google.com/?q=16.519807,-96.983885" TargetMode="External"/><Relationship Id="rId464" Type="http://schemas.openxmlformats.org/officeDocument/2006/relationships/hyperlink" Target="https://maps.google.com/?q=17.484956468989,-97.715077982803" TargetMode="External"/><Relationship Id="rId1094" Type="http://schemas.openxmlformats.org/officeDocument/2006/relationships/hyperlink" Target="https://maps.google.com/?q=17.059919,-96.69215" TargetMode="External"/><Relationship Id="rId2145" Type="http://schemas.openxmlformats.org/officeDocument/2006/relationships/hyperlink" Target="https://maps.google.com/?q=16.878493876938,-97.504783663418" TargetMode="External"/><Relationship Id="rId3543" Type="http://schemas.openxmlformats.org/officeDocument/2006/relationships/hyperlink" Target="https://maps.google.com/?q=16.791041929173,-96.551959575612" TargetMode="External"/><Relationship Id="rId3750" Type="http://schemas.openxmlformats.org/officeDocument/2006/relationships/hyperlink" Target="https://maps.google.com/?q=16.2084771,-97.530336" TargetMode="External"/><Relationship Id="rId117" Type="http://schemas.openxmlformats.org/officeDocument/2006/relationships/hyperlink" Target="https://maps.google.com/?q=16.541607386221,-98.0679886816" TargetMode="External"/><Relationship Id="rId671" Type="http://schemas.openxmlformats.org/officeDocument/2006/relationships/hyperlink" Target="https://maps.google.com/?q=17.0509418,-96.7079651" TargetMode="External"/><Relationship Id="rId2352" Type="http://schemas.openxmlformats.org/officeDocument/2006/relationships/hyperlink" Target="https://maps.google.com/?q=17.37948214,-96.50639132" TargetMode="External"/><Relationship Id="rId3403" Type="http://schemas.openxmlformats.org/officeDocument/2006/relationships/hyperlink" Target="https://maps.google.com/?q=16.786270927208,-96.560000574668" TargetMode="External"/><Relationship Id="rId3610" Type="http://schemas.openxmlformats.org/officeDocument/2006/relationships/hyperlink" Target="https://maps.google.com/?q=16.2054031,-97.523219" TargetMode="External"/><Relationship Id="rId324" Type="http://schemas.openxmlformats.org/officeDocument/2006/relationships/hyperlink" Target="https://maps.google.com/?q=17.027958330705,-97.649220498642" TargetMode="External"/><Relationship Id="rId531" Type="http://schemas.openxmlformats.org/officeDocument/2006/relationships/hyperlink" Target="https://maps.google.com/?q=17.071544120503,-96.715912270785" TargetMode="External"/><Relationship Id="rId1161" Type="http://schemas.openxmlformats.org/officeDocument/2006/relationships/hyperlink" Target="https://maps.google.com/?q=18.375821633948,-96.716929472214" TargetMode="External"/><Relationship Id="rId2005" Type="http://schemas.openxmlformats.org/officeDocument/2006/relationships/hyperlink" Target="https://maps.google.com/?q=16.782831,-96.03247" TargetMode="External"/><Relationship Id="rId2212" Type="http://schemas.openxmlformats.org/officeDocument/2006/relationships/hyperlink" Target="https://maps.google.com/?q=16.644024440677,-96.58176112549" TargetMode="External"/><Relationship Id="rId1021" Type="http://schemas.openxmlformats.org/officeDocument/2006/relationships/hyperlink" Target="https://maps.google.com/?q=17.023622,-96.71886" TargetMode="External"/><Relationship Id="rId1978" Type="http://schemas.openxmlformats.org/officeDocument/2006/relationships/hyperlink" Target="https://maps.google.com/?q=16.781526,-96.033592" TargetMode="External"/><Relationship Id="rId3193" Type="http://schemas.openxmlformats.org/officeDocument/2006/relationships/hyperlink" Target="https://maps.google.com/?q=16.784711918641,-96.566181571713" TargetMode="External"/><Relationship Id="rId1838" Type="http://schemas.openxmlformats.org/officeDocument/2006/relationships/hyperlink" Target="https://maps.google.com/?q=17.935382250567,-97.677130605873" TargetMode="External"/><Relationship Id="rId3053" Type="http://schemas.openxmlformats.org/officeDocument/2006/relationships/hyperlink" Target="https://maps.google.com/?q=17.306941453203,-96.915063034393" TargetMode="External"/><Relationship Id="rId3260" Type="http://schemas.openxmlformats.org/officeDocument/2006/relationships/hyperlink" Target="https://maps.google.com/?q=16.785392924231,-96.563713571912" TargetMode="External"/><Relationship Id="rId181" Type="http://schemas.openxmlformats.org/officeDocument/2006/relationships/hyperlink" Target="https://maps.google.com/?q=17.276169,-97.671346" TargetMode="External"/><Relationship Id="rId1905" Type="http://schemas.openxmlformats.org/officeDocument/2006/relationships/hyperlink" Target="https://maps.google.com/?q=16.778911,-96.033574" TargetMode="External"/><Relationship Id="rId3120" Type="http://schemas.openxmlformats.org/officeDocument/2006/relationships/hyperlink" Target="https://maps.google.com/?q=17.976346,-96.703773" TargetMode="External"/><Relationship Id="rId998" Type="http://schemas.openxmlformats.org/officeDocument/2006/relationships/hyperlink" Target="https://maps.google.com/?q=17.464453,-97.349567" TargetMode="External"/><Relationship Id="rId2679" Type="http://schemas.openxmlformats.org/officeDocument/2006/relationships/hyperlink" Target="https://maps.google.com/?q=17.063343604173,-96.732143799107" TargetMode="External"/><Relationship Id="rId2886" Type="http://schemas.openxmlformats.org/officeDocument/2006/relationships/hyperlink" Target="https://maps.google.com/?q=17.057621157808,-96.818724017043" TargetMode="External"/><Relationship Id="rId3937" Type="http://schemas.openxmlformats.org/officeDocument/2006/relationships/hyperlink" Target="https://maps.google.com/?q=16.87206727,-94.7254322" TargetMode="External"/><Relationship Id="rId858" Type="http://schemas.openxmlformats.org/officeDocument/2006/relationships/hyperlink" Target="https://maps.google.com/?q=17.086892648845,-96.69535719788" TargetMode="External"/><Relationship Id="rId1488" Type="http://schemas.openxmlformats.org/officeDocument/2006/relationships/hyperlink" Target="https://maps.google.com/?q=17.0682971,-96.7240205" TargetMode="External"/><Relationship Id="rId1695" Type="http://schemas.openxmlformats.org/officeDocument/2006/relationships/hyperlink" Target="https://maps.google.com/?q=16.524703,-96.97789" TargetMode="External"/><Relationship Id="rId2539" Type="http://schemas.openxmlformats.org/officeDocument/2006/relationships/hyperlink" Target="https://maps.google.com/?q=16.27249,-96.306854" TargetMode="External"/><Relationship Id="rId2746" Type="http://schemas.openxmlformats.org/officeDocument/2006/relationships/hyperlink" Target="https://maps.google.com/?q=17.784809,-96.802457" TargetMode="External"/><Relationship Id="rId2953" Type="http://schemas.openxmlformats.org/officeDocument/2006/relationships/hyperlink" Target="https://maps.google.com/?q=17.717618309844,-96.939003565935" TargetMode="External"/><Relationship Id="rId718" Type="http://schemas.openxmlformats.org/officeDocument/2006/relationships/hyperlink" Target="https://maps.google.com/?q=17.0575549,-96.7425359" TargetMode="External"/><Relationship Id="rId925" Type="http://schemas.openxmlformats.org/officeDocument/2006/relationships/hyperlink" Target="https://maps.google.com/?q=17.055050162285,-96.653903109354" TargetMode="External"/><Relationship Id="rId1348" Type="http://schemas.openxmlformats.org/officeDocument/2006/relationships/hyperlink" Target="https://maps.google.com/?q=16.986941475306,-97.559048982803" TargetMode="External"/><Relationship Id="rId1555" Type="http://schemas.openxmlformats.org/officeDocument/2006/relationships/hyperlink" Target="https://maps.google.com/?q=16.336621869584,-95.228809052744" TargetMode="External"/><Relationship Id="rId1762" Type="http://schemas.openxmlformats.org/officeDocument/2006/relationships/hyperlink" Target="https://maps.google.com/?q=17.02469316,-96.7131331" TargetMode="External"/><Relationship Id="rId2606" Type="http://schemas.openxmlformats.org/officeDocument/2006/relationships/hyperlink" Target="https://maps.google.com/?q=17.091953994,-96.7383276" TargetMode="External"/><Relationship Id="rId1208" Type="http://schemas.openxmlformats.org/officeDocument/2006/relationships/hyperlink" Target="https://maps.google.com/?q=16.183937942449,-95.774390573086" TargetMode="External"/><Relationship Id="rId1415" Type="http://schemas.openxmlformats.org/officeDocument/2006/relationships/hyperlink" Target="https://maps.google.com/?q=16.332014,-95.231966" TargetMode="External"/><Relationship Id="rId2813" Type="http://schemas.openxmlformats.org/officeDocument/2006/relationships/hyperlink" Target="https://maps.google.com/?q=17.701901,-96.784905" TargetMode="External"/><Relationship Id="rId54" Type="http://schemas.openxmlformats.org/officeDocument/2006/relationships/hyperlink" Target="https://maps.google.com/?q=16.90972,-96.72108" TargetMode="External"/><Relationship Id="rId1622" Type="http://schemas.openxmlformats.org/officeDocument/2006/relationships/hyperlink" Target="https://maps.google.com/?q=18.399056628659,-96.50416855876" TargetMode="External"/><Relationship Id="rId2189" Type="http://schemas.openxmlformats.org/officeDocument/2006/relationships/hyperlink" Target="https://maps.google.com/?q=17.0525818,-96.63914884" TargetMode="External"/><Relationship Id="rId3587" Type="http://schemas.openxmlformats.org/officeDocument/2006/relationships/hyperlink" Target="https://maps.google.com/?q=16.2049881,-97.5276151" TargetMode="External"/><Relationship Id="rId3794" Type="http://schemas.openxmlformats.org/officeDocument/2006/relationships/hyperlink" Target="https://maps.google.com/?q=16.2094621,-97.5268391" TargetMode="External"/><Relationship Id="rId2396" Type="http://schemas.openxmlformats.org/officeDocument/2006/relationships/hyperlink" Target="https://maps.google.com/?q=16.249015,-96.340303" TargetMode="External"/><Relationship Id="rId3447" Type="http://schemas.openxmlformats.org/officeDocument/2006/relationships/hyperlink" Target="https://maps.google.com/?q=16.788502929124,-96.55522757175" TargetMode="External"/><Relationship Id="rId3654" Type="http://schemas.openxmlformats.org/officeDocument/2006/relationships/hyperlink" Target="https://maps.google.com/?q=16.2062371,-97.527126" TargetMode="External"/><Relationship Id="rId3861" Type="http://schemas.openxmlformats.org/officeDocument/2006/relationships/hyperlink" Target="https://maps.google.com/?q=17.06105961,-96.705926379" TargetMode="External"/><Relationship Id="rId368" Type="http://schemas.openxmlformats.org/officeDocument/2006/relationships/hyperlink" Target="https://maps.google.com/?q=17.041212,-96.727915" TargetMode="External"/><Relationship Id="rId575" Type="http://schemas.openxmlformats.org/officeDocument/2006/relationships/hyperlink" Target="https://maps.google.com/?q=17.043501855915,-96.711943420885" TargetMode="External"/><Relationship Id="rId782" Type="http://schemas.openxmlformats.org/officeDocument/2006/relationships/hyperlink" Target="https://maps.google.com/?q=17.081745573895,-96.695156153029" TargetMode="External"/><Relationship Id="rId2049" Type="http://schemas.openxmlformats.org/officeDocument/2006/relationships/hyperlink" Target="https://maps.google.com/?q=16.784048,-96.033017" TargetMode="External"/><Relationship Id="rId2256" Type="http://schemas.openxmlformats.org/officeDocument/2006/relationships/hyperlink" Target="https://maps.google.com/?q=17.35084731,-96.53236066" TargetMode="External"/><Relationship Id="rId2463" Type="http://schemas.openxmlformats.org/officeDocument/2006/relationships/hyperlink" Target="https://maps.google.com/?q=16.254776,-96.336822" TargetMode="External"/><Relationship Id="rId2670" Type="http://schemas.openxmlformats.org/officeDocument/2006/relationships/hyperlink" Target="https://maps.google.com/?q=17.062317945079,-96.72658089761" TargetMode="External"/><Relationship Id="rId3307" Type="http://schemas.openxmlformats.org/officeDocument/2006/relationships/hyperlink" Target="https://maps.google.com/?q=16.785749919241,-96.573100565436" TargetMode="External"/><Relationship Id="rId3514" Type="http://schemas.openxmlformats.org/officeDocument/2006/relationships/hyperlink" Target="https://maps.google.com/?q=16.79058493134,-96.553636572629" TargetMode="External"/><Relationship Id="rId3721" Type="http://schemas.openxmlformats.org/officeDocument/2006/relationships/hyperlink" Target="https://maps.google.com/?q=16.2079511,-97.5291531" TargetMode="External"/><Relationship Id="rId228" Type="http://schemas.openxmlformats.org/officeDocument/2006/relationships/hyperlink" Target="https://maps.google.com/?q=15.910888431516,-96.212439946396" TargetMode="External"/><Relationship Id="rId435" Type="http://schemas.openxmlformats.org/officeDocument/2006/relationships/hyperlink" Target="https://maps.google.com/?q=17.507633884311,-97.709065734664" TargetMode="External"/><Relationship Id="rId642" Type="http://schemas.openxmlformats.org/officeDocument/2006/relationships/hyperlink" Target="https://maps.google.com/?q=17.049411084312,-96.736009909326" TargetMode="External"/><Relationship Id="rId1065" Type="http://schemas.openxmlformats.org/officeDocument/2006/relationships/hyperlink" Target="https://maps.google.com/?q=17.079414,-96.741249" TargetMode="External"/><Relationship Id="rId1272" Type="http://schemas.openxmlformats.org/officeDocument/2006/relationships/hyperlink" Target="https://maps.google.com/?q=16.217816480918,-96.037288105488" TargetMode="External"/><Relationship Id="rId2116" Type="http://schemas.openxmlformats.org/officeDocument/2006/relationships/hyperlink" Target="https://maps.google.com/?q=16.874425225767,-97.503276418092" TargetMode="External"/><Relationship Id="rId2323" Type="http://schemas.openxmlformats.org/officeDocument/2006/relationships/hyperlink" Target="https://maps.google.com/?q=17.37171948,-96.50823658" TargetMode="External"/><Relationship Id="rId2530" Type="http://schemas.openxmlformats.org/officeDocument/2006/relationships/hyperlink" Target="https://maps.google.com/?q=16.271225,-96.309418" TargetMode="External"/><Relationship Id="rId502" Type="http://schemas.openxmlformats.org/officeDocument/2006/relationships/hyperlink" Target="https://maps.google.com/?q=17.530029849951,-97.792702657578" TargetMode="External"/><Relationship Id="rId1132" Type="http://schemas.openxmlformats.org/officeDocument/2006/relationships/hyperlink" Target="https://maps.google.com/?q=17.060102817515,-96.725467435313" TargetMode="External"/><Relationship Id="rId3097" Type="http://schemas.openxmlformats.org/officeDocument/2006/relationships/hyperlink" Target="https://maps.google.com/?q=17.97068,-96.689123" TargetMode="External"/><Relationship Id="rId1949" Type="http://schemas.openxmlformats.org/officeDocument/2006/relationships/hyperlink" Target="https://maps.google.com/?q=16.780524,-96.034394" TargetMode="External"/><Relationship Id="rId3164" Type="http://schemas.openxmlformats.org/officeDocument/2006/relationships/hyperlink" Target="https://maps.google.com/?q=16.783528924386,-96.568458563169" TargetMode="External"/><Relationship Id="rId4008" Type="http://schemas.openxmlformats.org/officeDocument/2006/relationships/hyperlink" Target="https://maps.google.com/?q=17.417583,-96.248469" TargetMode="External"/><Relationship Id="rId292" Type="http://schemas.openxmlformats.org/officeDocument/2006/relationships/hyperlink" Target="https://maps.google.com/?q=17.950772,-98.059685" TargetMode="External"/><Relationship Id="rId1809" Type="http://schemas.openxmlformats.org/officeDocument/2006/relationships/hyperlink" Target="https://maps.google.com/?q=17.0607038408,-96.713481977869" TargetMode="External"/><Relationship Id="rId3371" Type="http://schemas.openxmlformats.org/officeDocument/2006/relationships/hyperlink" Target="https://maps.google.com/?q=16.786001921656,-96.557742572054" TargetMode="External"/><Relationship Id="rId2180" Type="http://schemas.openxmlformats.org/officeDocument/2006/relationships/hyperlink" Target="https://maps.google.com/?q=17.05093233,-96.63854872" TargetMode="External"/><Relationship Id="rId3024" Type="http://schemas.openxmlformats.org/officeDocument/2006/relationships/hyperlink" Target="https://maps.google.com/?q=16.299888,-96.769758" TargetMode="External"/><Relationship Id="rId3231" Type="http://schemas.openxmlformats.org/officeDocument/2006/relationships/hyperlink" Target="https://maps.google.com/?q=16.785150921288,-96.574239567025" TargetMode="External"/><Relationship Id="rId152" Type="http://schemas.openxmlformats.org/officeDocument/2006/relationships/hyperlink" Target="https://maps.google.com/?q=17.270225,-97.674539" TargetMode="External"/><Relationship Id="rId2040" Type="http://schemas.openxmlformats.org/officeDocument/2006/relationships/hyperlink" Target="https://maps.google.com/?q=16.783742,-96.031003" TargetMode="External"/><Relationship Id="rId2997" Type="http://schemas.openxmlformats.org/officeDocument/2006/relationships/hyperlink" Target="https://maps.google.com/?q=15.958945354659,-96.769742159559" TargetMode="External"/><Relationship Id="rId969" Type="http://schemas.openxmlformats.org/officeDocument/2006/relationships/hyperlink" Target="https://maps.google.com/?q=16.958063750413,-96.545168709346" TargetMode="External"/><Relationship Id="rId1599" Type="http://schemas.openxmlformats.org/officeDocument/2006/relationships/hyperlink" Target="https://maps.google.com/?q=17.05482738498,-96.654661800608" TargetMode="External"/><Relationship Id="rId1459" Type="http://schemas.openxmlformats.org/officeDocument/2006/relationships/hyperlink" Target="https://maps.google.com/?q=16.519807,-96.983885" TargetMode="External"/><Relationship Id="rId2857" Type="http://schemas.openxmlformats.org/officeDocument/2006/relationships/hyperlink" Target="https://maps.google.com/?q=17.288821685675,-97.374869708631" TargetMode="External"/><Relationship Id="rId3908" Type="http://schemas.openxmlformats.org/officeDocument/2006/relationships/hyperlink" Target="https://maps.google.com/?q=16.86251205,-94.73232737" TargetMode="External"/><Relationship Id="rId98" Type="http://schemas.openxmlformats.org/officeDocument/2006/relationships/hyperlink" Target="https://maps.google.com/?q=16.539352884137,-98.036614263638" TargetMode="External"/><Relationship Id="rId829" Type="http://schemas.openxmlformats.org/officeDocument/2006/relationships/hyperlink" Target="https://maps.google.com/?q=17.084571027751,-96.700137012013" TargetMode="External"/><Relationship Id="rId1666" Type="http://schemas.openxmlformats.org/officeDocument/2006/relationships/hyperlink" Target="https://maps.google.com/?q=16.52116,-96.97595" TargetMode="External"/><Relationship Id="rId1873" Type="http://schemas.openxmlformats.org/officeDocument/2006/relationships/hyperlink" Target="https://maps.google.com/?q=16.071168264565,-96.303685735213" TargetMode="External"/><Relationship Id="rId2717" Type="http://schemas.openxmlformats.org/officeDocument/2006/relationships/hyperlink" Target="https://maps.google.com/?q=17.085005443712,-96.712825529916" TargetMode="External"/><Relationship Id="rId2924" Type="http://schemas.openxmlformats.org/officeDocument/2006/relationships/hyperlink" Target="https://maps.google.com/?q=15.787415559511,-96.047932203104" TargetMode="External"/><Relationship Id="rId1319" Type="http://schemas.openxmlformats.org/officeDocument/2006/relationships/hyperlink" Target="https://maps.google.com/?q=16.370721023008,-94.198217914017" TargetMode="External"/><Relationship Id="rId1526" Type="http://schemas.openxmlformats.org/officeDocument/2006/relationships/hyperlink" Target="https://maps.google.com/?q=17.33873,-96.152554" TargetMode="External"/><Relationship Id="rId1733" Type="http://schemas.openxmlformats.org/officeDocument/2006/relationships/hyperlink" Target="https://maps.google.com/?q=16.799321,-96.460978" TargetMode="External"/><Relationship Id="rId1940" Type="http://schemas.openxmlformats.org/officeDocument/2006/relationships/hyperlink" Target="https://maps.google.com/?q=16.780331,-96.034862" TargetMode="External"/><Relationship Id="rId25" Type="http://schemas.openxmlformats.org/officeDocument/2006/relationships/hyperlink" Target="https://maps.google.com/?q=17.026216,-97.928115" TargetMode="External"/><Relationship Id="rId1800" Type="http://schemas.openxmlformats.org/officeDocument/2006/relationships/hyperlink" Target="https://maps.google.com/?q=17.98898,-96.83626" TargetMode="External"/><Relationship Id="rId3698" Type="http://schemas.openxmlformats.org/officeDocument/2006/relationships/hyperlink" Target="https://maps.google.com/?q=16.2073475,-97.5290496" TargetMode="External"/><Relationship Id="rId3558" Type="http://schemas.openxmlformats.org/officeDocument/2006/relationships/hyperlink" Target="https://maps.google.com/?q=16.792191930092,-96.551542576132" TargetMode="External"/><Relationship Id="rId3765" Type="http://schemas.openxmlformats.org/officeDocument/2006/relationships/hyperlink" Target="https://maps.google.com/?q=16.208769,-97.528417" TargetMode="External"/><Relationship Id="rId3972" Type="http://schemas.openxmlformats.org/officeDocument/2006/relationships/hyperlink" Target="https://maps.google.com/?q=16.89229647,-94.70094069" TargetMode="External"/><Relationship Id="rId479" Type="http://schemas.openxmlformats.org/officeDocument/2006/relationships/hyperlink" Target="https://maps.google.com/?q=17.532445078292,-97.720065198801" TargetMode="External"/><Relationship Id="rId686" Type="http://schemas.openxmlformats.org/officeDocument/2006/relationships/hyperlink" Target="https://maps.google.com/?q=17.051563335596,-96.706997800663" TargetMode="External"/><Relationship Id="rId893" Type="http://schemas.openxmlformats.org/officeDocument/2006/relationships/hyperlink" Target="https://maps.google.com/?q=17.125853670131,-96.760272877229" TargetMode="External"/><Relationship Id="rId2367" Type="http://schemas.openxmlformats.org/officeDocument/2006/relationships/hyperlink" Target="https://maps.google.com/?q=17.380679,-96.50026088" TargetMode="External"/><Relationship Id="rId2574" Type="http://schemas.openxmlformats.org/officeDocument/2006/relationships/hyperlink" Target="https://maps.google.com/?q=17.089536581281,-96.736590330016" TargetMode="External"/><Relationship Id="rId2781" Type="http://schemas.openxmlformats.org/officeDocument/2006/relationships/hyperlink" Target="https://maps.google.com/?q=17.788491,-96.810153" TargetMode="External"/><Relationship Id="rId3418" Type="http://schemas.openxmlformats.org/officeDocument/2006/relationships/hyperlink" Target="https://maps.google.com/?q=16.786555920655,-96.560060565966" TargetMode="External"/><Relationship Id="rId3625" Type="http://schemas.openxmlformats.org/officeDocument/2006/relationships/hyperlink" Target="https://maps.google.com/?q=16.2054831,-97.527639" TargetMode="External"/><Relationship Id="rId339" Type="http://schemas.openxmlformats.org/officeDocument/2006/relationships/hyperlink" Target="https://maps.google.com/?q=16.979285627173,-97.639951625126" TargetMode="External"/><Relationship Id="rId546" Type="http://schemas.openxmlformats.org/officeDocument/2006/relationships/hyperlink" Target="https://maps.google.com/?q=17.071544120503,-96.715912270785" TargetMode="External"/><Relationship Id="rId753" Type="http://schemas.openxmlformats.org/officeDocument/2006/relationships/hyperlink" Target="https://maps.google.com/?q=17.063873586932,-96.733272680379" TargetMode="External"/><Relationship Id="rId1176" Type="http://schemas.openxmlformats.org/officeDocument/2006/relationships/hyperlink" Target="https://maps.google.com/?q=18.057229768507,-96.397652284378" TargetMode="External"/><Relationship Id="rId1383" Type="http://schemas.openxmlformats.org/officeDocument/2006/relationships/hyperlink" Target="https://maps.google.com/?q=16.64067623758,-98.033945326389" TargetMode="External"/><Relationship Id="rId2227" Type="http://schemas.openxmlformats.org/officeDocument/2006/relationships/hyperlink" Target="https://maps.google.com/?q=16.645553749431,-96.57609464568" TargetMode="External"/><Relationship Id="rId2434" Type="http://schemas.openxmlformats.org/officeDocument/2006/relationships/hyperlink" Target="https://maps.google.com/?q=16.252248,-96.331128" TargetMode="External"/><Relationship Id="rId3832" Type="http://schemas.openxmlformats.org/officeDocument/2006/relationships/hyperlink" Target="https://maps.google.com/?q=16.513978393011,-96.489270732872" TargetMode="External"/><Relationship Id="rId406" Type="http://schemas.openxmlformats.org/officeDocument/2006/relationships/hyperlink" Target="https://maps.google.com/?q=17.539274899089,-97.737468472964" TargetMode="External"/><Relationship Id="rId960" Type="http://schemas.openxmlformats.org/officeDocument/2006/relationships/hyperlink" Target="https://maps.google.com/?q=16.271843117244,-96.582778744559" TargetMode="External"/><Relationship Id="rId1036" Type="http://schemas.openxmlformats.org/officeDocument/2006/relationships/hyperlink" Target="https://maps.google.com/?q=16.519807,-96.983885" TargetMode="External"/><Relationship Id="rId1243" Type="http://schemas.openxmlformats.org/officeDocument/2006/relationships/hyperlink" Target="https://maps.google.com/?q=17.224515358784,-95.300437200069" TargetMode="External"/><Relationship Id="rId1590" Type="http://schemas.openxmlformats.org/officeDocument/2006/relationships/hyperlink" Target="https://maps.google.com/?q=17.027535,-96.711716" TargetMode="External"/><Relationship Id="rId2641" Type="http://schemas.openxmlformats.org/officeDocument/2006/relationships/hyperlink" Target="https://maps.google.com/?q=16.3471943,-98.04833916" TargetMode="External"/><Relationship Id="rId613" Type="http://schemas.openxmlformats.org/officeDocument/2006/relationships/hyperlink" Target="https://maps.google.com/?q=17.047136343704,-96.723465480198" TargetMode="External"/><Relationship Id="rId820" Type="http://schemas.openxmlformats.org/officeDocument/2006/relationships/hyperlink" Target="https://maps.google.com/?q=17.084018621411,-96.694131346488" TargetMode="External"/><Relationship Id="rId1450" Type="http://schemas.openxmlformats.org/officeDocument/2006/relationships/hyperlink" Target="https://maps.google.com/?q=17.724615,-97.323898" TargetMode="External"/><Relationship Id="rId2501" Type="http://schemas.openxmlformats.org/officeDocument/2006/relationships/hyperlink" Target="https://maps.google.com/?q=16.263418,-96.31107" TargetMode="External"/><Relationship Id="rId1103" Type="http://schemas.openxmlformats.org/officeDocument/2006/relationships/hyperlink" Target="https://maps.google.com/?q=17.054934481114,-96.653986180652" TargetMode="External"/><Relationship Id="rId1310" Type="http://schemas.openxmlformats.org/officeDocument/2006/relationships/hyperlink" Target="https://maps.google.com/?q=15.898071385743,-96.939883882278" TargetMode="External"/><Relationship Id="rId3068" Type="http://schemas.openxmlformats.org/officeDocument/2006/relationships/hyperlink" Target="https://maps.google.com/?q=17.020771,-97.630338" TargetMode="External"/><Relationship Id="rId3275" Type="http://schemas.openxmlformats.org/officeDocument/2006/relationships/hyperlink" Target="https://maps.google.com/?q=16.785501920372,-96.574041567764" TargetMode="External"/><Relationship Id="rId3482" Type="http://schemas.openxmlformats.org/officeDocument/2006/relationships/hyperlink" Target="https://maps.google.com/?q=16.789406928055,-96.5536915737" TargetMode="External"/><Relationship Id="rId196" Type="http://schemas.openxmlformats.org/officeDocument/2006/relationships/hyperlink" Target="https://maps.google.com/?q=17.27856,-97.67083" TargetMode="External"/><Relationship Id="rId2084" Type="http://schemas.openxmlformats.org/officeDocument/2006/relationships/hyperlink" Target="https://maps.google.com/?q=16.923116997145,-96.60457297558" TargetMode="External"/><Relationship Id="rId2291" Type="http://schemas.openxmlformats.org/officeDocument/2006/relationships/hyperlink" Target="https://maps.google.com/?q=17.35527691,-96.53193457" TargetMode="External"/><Relationship Id="rId3135" Type="http://schemas.openxmlformats.org/officeDocument/2006/relationships/hyperlink" Target="https://maps.google.com/?q=16.776454069346,-96.584282481558" TargetMode="External"/><Relationship Id="rId3342" Type="http://schemas.openxmlformats.org/officeDocument/2006/relationships/hyperlink" Target="https://maps.google.com/?q=16.78590601,-96.58000476" TargetMode="External"/><Relationship Id="rId263" Type="http://schemas.openxmlformats.org/officeDocument/2006/relationships/hyperlink" Target="https://maps.google.com/?q=17.026216,-97.928115" TargetMode="External"/><Relationship Id="rId470" Type="http://schemas.openxmlformats.org/officeDocument/2006/relationships/hyperlink" Target="https://maps.google.com/?q=17.490839383137,-97.717098094824" TargetMode="External"/><Relationship Id="rId2151" Type="http://schemas.openxmlformats.org/officeDocument/2006/relationships/hyperlink" Target="https://maps.google.com/?q=16.879403281581,-97.504325976164" TargetMode="External"/><Relationship Id="rId3202" Type="http://schemas.openxmlformats.org/officeDocument/2006/relationships/hyperlink" Target="https://maps.google.com/?q=16.784804923587,-96.575478563057" TargetMode="External"/><Relationship Id="rId123" Type="http://schemas.openxmlformats.org/officeDocument/2006/relationships/hyperlink" Target="https://maps.google.com/?q=17.272127,-97.672362" TargetMode="External"/><Relationship Id="rId330" Type="http://schemas.openxmlformats.org/officeDocument/2006/relationships/hyperlink" Target="https://maps.google.com/?q=17.026602590994,-97.664442783793" TargetMode="External"/><Relationship Id="rId2011" Type="http://schemas.openxmlformats.org/officeDocument/2006/relationships/hyperlink" Target="https://maps.google.com/?q=16.783035,-96.034969" TargetMode="External"/><Relationship Id="rId2968" Type="http://schemas.openxmlformats.org/officeDocument/2006/relationships/hyperlink" Target="https://maps.google.com/?q=17.796036047977,-96.954122445754" TargetMode="External"/><Relationship Id="rId1777" Type="http://schemas.openxmlformats.org/officeDocument/2006/relationships/hyperlink" Target="https://maps.google.com/?q=17.028776279,-96.71074935" TargetMode="External"/><Relationship Id="rId1984" Type="http://schemas.openxmlformats.org/officeDocument/2006/relationships/hyperlink" Target="https://maps.google.com/?q=16.781629,-96.032161" TargetMode="External"/><Relationship Id="rId2828" Type="http://schemas.openxmlformats.org/officeDocument/2006/relationships/hyperlink" Target="https://maps.google.com/?q=17.28188790732,-97.375923136826" TargetMode="External"/><Relationship Id="rId69" Type="http://schemas.openxmlformats.org/officeDocument/2006/relationships/hyperlink" Target="https://maps.google.com/?q=16.9099807,-96.720373" TargetMode="External"/><Relationship Id="rId1637" Type="http://schemas.openxmlformats.org/officeDocument/2006/relationships/hyperlink" Target="https://maps.google.com/?q=16.833987719357,-95.169452790071" TargetMode="External"/><Relationship Id="rId1844" Type="http://schemas.openxmlformats.org/officeDocument/2006/relationships/hyperlink" Target="https://maps.google.com/?q=16.146549560814,-96.347606595072" TargetMode="External"/><Relationship Id="rId1704" Type="http://schemas.openxmlformats.org/officeDocument/2006/relationships/hyperlink" Target="https://maps.google.com/?q=16.524983,-96.976372" TargetMode="External"/><Relationship Id="rId1911" Type="http://schemas.openxmlformats.org/officeDocument/2006/relationships/hyperlink" Target="https://maps.google.com/?q=16.77914,-96.033683" TargetMode="External"/><Relationship Id="rId3669" Type="http://schemas.openxmlformats.org/officeDocument/2006/relationships/hyperlink" Target="https://maps.google.com/?q=16.2068681,-97.531855" TargetMode="External"/><Relationship Id="rId797" Type="http://schemas.openxmlformats.org/officeDocument/2006/relationships/hyperlink" Target="https://maps.google.com/?q=17.082767856407,-96.697961587866" TargetMode="External"/><Relationship Id="rId2478" Type="http://schemas.openxmlformats.org/officeDocument/2006/relationships/hyperlink" Target="https://maps.google.com/?q=16.256899,-96.318953" TargetMode="External"/><Relationship Id="rId3876" Type="http://schemas.openxmlformats.org/officeDocument/2006/relationships/hyperlink" Target="https://maps.google.com/?q=17.039031570019,-96.728537005772" TargetMode="External"/><Relationship Id="rId1287" Type="http://schemas.openxmlformats.org/officeDocument/2006/relationships/hyperlink" Target="https://maps.google.com/?q=16.665843,-96.302515" TargetMode="External"/><Relationship Id="rId2685" Type="http://schemas.openxmlformats.org/officeDocument/2006/relationships/hyperlink" Target="https://maps.google.com/?q=17.064523105165,-96.73406962518" TargetMode="External"/><Relationship Id="rId2892" Type="http://schemas.openxmlformats.org/officeDocument/2006/relationships/hyperlink" Target="https://maps.google.com/?q=17.058706881656,-96.82452624" TargetMode="External"/><Relationship Id="rId3529" Type="http://schemas.openxmlformats.org/officeDocument/2006/relationships/hyperlink" Target="https://maps.google.com/?q=16.790860925252,-96.554258577555" TargetMode="External"/><Relationship Id="rId3736" Type="http://schemas.openxmlformats.org/officeDocument/2006/relationships/hyperlink" Target="https://maps.google.com/?q=16.2081971,-97.528385" TargetMode="External"/><Relationship Id="rId3943" Type="http://schemas.openxmlformats.org/officeDocument/2006/relationships/hyperlink" Target="https://maps.google.com/?q=16.87405904,-94.72283191" TargetMode="External"/><Relationship Id="rId657" Type="http://schemas.openxmlformats.org/officeDocument/2006/relationships/hyperlink" Target="https://maps.google.com/?q=17.0502934,-96.7075557" TargetMode="External"/><Relationship Id="rId864" Type="http://schemas.openxmlformats.org/officeDocument/2006/relationships/hyperlink" Target="https://maps.google.com/?q=17.114679239574,-96.762199767075" TargetMode="External"/><Relationship Id="rId1494" Type="http://schemas.openxmlformats.org/officeDocument/2006/relationships/hyperlink" Target="https://maps.google.com/?q=17.05841510063,-96.726037449795" TargetMode="External"/><Relationship Id="rId2338" Type="http://schemas.openxmlformats.org/officeDocument/2006/relationships/hyperlink" Target="https://maps.google.com/?q=17.37859036,-96.50730642" TargetMode="External"/><Relationship Id="rId2545" Type="http://schemas.openxmlformats.org/officeDocument/2006/relationships/hyperlink" Target="https://maps.google.com/?q=17.380419508345,-97.344706982733" TargetMode="External"/><Relationship Id="rId2752" Type="http://schemas.openxmlformats.org/officeDocument/2006/relationships/hyperlink" Target="https://maps.google.com/?q=17.78513,-96.802896" TargetMode="External"/><Relationship Id="rId3803" Type="http://schemas.openxmlformats.org/officeDocument/2006/relationships/hyperlink" Target="https://maps.google.com/?q=16.2099131,-97.532668" TargetMode="External"/><Relationship Id="rId517" Type="http://schemas.openxmlformats.org/officeDocument/2006/relationships/hyperlink" Target="https://maps.google.com/?q=17.016133515551,-96.511432421751" TargetMode="External"/><Relationship Id="rId724" Type="http://schemas.openxmlformats.org/officeDocument/2006/relationships/hyperlink" Target="https://maps.google.com/?q=17.058023772002,-96.731704055442" TargetMode="External"/><Relationship Id="rId931" Type="http://schemas.openxmlformats.org/officeDocument/2006/relationships/hyperlink" Target="https://maps.google.com/?q=17.064537,-96.704737" TargetMode="External"/><Relationship Id="rId1147" Type="http://schemas.openxmlformats.org/officeDocument/2006/relationships/hyperlink" Target="https://maps.google.com/?q=18.086524132975,-96.14959710318" TargetMode="External"/><Relationship Id="rId1354" Type="http://schemas.openxmlformats.org/officeDocument/2006/relationships/hyperlink" Target="https://maps.google.com/?q=17.093736492881,-97.539735809509" TargetMode="External"/><Relationship Id="rId1561" Type="http://schemas.openxmlformats.org/officeDocument/2006/relationships/hyperlink" Target="https://maps.google.com/?q=16.336929,-95.230501" TargetMode="External"/><Relationship Id="rId2405" Type="http://schemas.openxmlformats.org/officeDocument/2006/relationships/hyperlink" Target="https://maps.google.com/?q=16.249538,-96.339576" TargetMode="External"/><Relationship Id="rId2612" Type="http://schemas.openxmlformats.org/officeDocument/2006/relationships/hyperlink" Target="https://maps.google.com/?q=17.0931794613,-96.73908935" TargetMode="External"/><Relationship Id="rId60" Type="http://schemas.openxmlformats.org/officeDocument/2006/relationships/hyperlink" Target="https://maps.google.com/?q=17.246139732993,-96.888437171943" TargetMode="External"/><Relationship Id="rId1007" Type="http://schemas.openxmlformats.org/officeDocument/2006/relationships/hyperlink" Target="https://maps.google.com/?q=17.466129,-97.359993" TargetMode="External"/><Relationship Id="rId1214" Type="http://schemas.openxmlformats.org/officeDocument/2006/relationships/hyperlink" Target="https://maps.google.com/?q=16.658864934023,-96.728988416835" TargetMode="External"/><Relationship Id="rId1421" Type="http://schemas.openxmlformats.org/officeDocument/2006/relationships/hyperlink" Target="https://maps.google.com/?q=16.866371,-96.785623" TargetMode="External"/><Relationship Id="rId3179" Type="http://schemas.openxmlformats.org/officeDocument/2006/relationships/hyperlink" Target="https://maps.google.com/?q=16.784152925016,-96.56648856746" TargetMode="External"/><Relationship Id="rId3386" Type="http://schemas.openxmlformats.org/officeDocument/2006/relationships/hyperlink" Target="https://maps.google.com/?q=16.786080918432,-96.57731356592" TargetMode="External"/><Relationship Id="rId3593" Type="http://schemas.openxmlformats.org/officeDocument/2006/relationships/hyperlink" Target="https://maps.google.com/?q=16.205127,-97.5216789" TargetMode="External"/><Relationship Id="rId2195" Type="http://schemas.openxmlformats.org/officeDocument/2006/relationships/hyperlink" Target="https://maps.google.com/?q=16.635662981458,-96.547213640298" TargetMode="External"/><Relationship Id="rId3039" Type="http://schemas.openxmlformats.org/officeDocument/2006/relationships/hyperlink" Target="https://maps.google.com/?q=16.332236357294,-98.062656084597" TargetMode="External"/><Relationship Id="rId3246" Type="http://schemas.openxmlformats.org/officeDocument/2006/relationships/hyperlink" Target="https://maps.google.com/?q=16.785294921181,-96.569837565633" TargetMode="External"/><Relationship Id="rId3453" Type="http://schemas.openxmlformats.org/officeDocument/2006/relationships/hyperlink" Target="https://maps.google.com/?q=16.788648923251,-96.553091569722" TargetMode="External"/><Relationship Id="rId167" Type="http://schemas.openxmlformats.org/officeDocument/2006/relationships/hyperlink" Target="https://maps.google.com/?q=17.27154,-97.672366" TargetMode="External"/><Relationship Id="rId374" Type="http://schemas.openxmlformats.org/officeDocument/2006/relationships/hyperlink" Target="https://maps.google.com/?q=17.041548,-96.72886" TargetMode="External"/><Relationship Id="rId581" Type="http://schemas.openxmlformats.org/officeDocument/2006/relationships/hyperlink" Target="https://maps.google.com/?q=17.044015959956,-96.711907698818" TargetMode="External"/><Relationship Id="rId2055" Type="http://schemas.openxmlformats.org/officeDocument/2006/relationships/hyperlink" Target="https://maps.google.com/?q=16.784327,-96.033135" TargetMode="External"/><Relationship Id="rId2262" Type="http://schemas.openxmlformats.org/officeDocument/2006/relationships/hyperlink" Target="https://maps.google.com/?q=17.35160559,-96.53013089" TargetMode="External"/><Relationship Id="rId3106" Type="http://schemas.openxmlformats.org/officeDocument/2006/relationships/hyperlink" Target="https://maps.google.com/?q=17.974717,-96.704248" TargetMode="External"/><Relationship Id="rId3660" Type="http://schemas.openxmlformats.org/officeDocument/2006/relationships/hyperlink" Target="https://maps.google.com/?q=16.2064211,-97.527956" TargetMode="External"/><Relationship Id="rId234" Type="http://schemas.openxmlformats.org/officeDocument/2006/relationships/hyperlink" Target="https://maps.google.com/?q=15.911470135007,-96.209930687887" TargetMode="External"/><Relationship Id="rId3313" Type="http://schemas.openxmlformats.org/officeDocument/2006/relationships/hyperlink" Target="https://maps.google.com/?q=16.785768924048,-96.570290567314" TargetMode="External"/><Relationship Id="rId3520" Type="http://schemas.openxmlformats.org/officeDocument/2006/relationships/hyperlink" Target="https://maps.google.com/?q=16.790755930963,-96.554256574792" TargetMode="External"/><Relationship Id="rId441" Type="http://schemas.openxmlformats.org/officeDocument/2006/relationships/hyperlink" Target="https://maps.google.com/?q=17.509629235925,-97.712298804085" TargetMode="External"/><Relationship Id="rId1071" Type="http://schemas.openxmlformats.org/officeDocument/2006/relationships/hyperlink" Target="https://maps.google.com/?q=17.091243,-96.7475" TargetMode="External"/><Relationship Id="rId2122" Type="http://schemas.openxmlformats.org/officeDocument/2006/relationships/hyperlink" Target="https://maps.google.com/?q=16.875051078408,-97.503590605193" TargetMode="External"/><Relationship Id="rId301" Type="http://schemas.openxmlformats.org/officeDocument/2006/relationships/hyperlink" Target="https://maps.google.com/?q=17.883337084886,-97.372063104339" TargetMode="External"/><Relationship Id="rId1888" Type="http://schemas.openxmlformats.org/officeDocument/2006/relationships/hyperlink" Target="https://maps.google.com/?q=16.778092,-96.032264" TargetMode="External"/><Relationship Id="rId2939" Type="http://schemas.openxmlformats.org/officeDocument/2006/relationships/hyperlink" Target="https://maps.google.com/?q=17.101673,-96.75193" TargetMode="External"/><Relationship Id="rId1748" Type="http://schemas.openxmlformats.org/officeDocument/2006/relationships/hyperlink" Target="https://maps.google.com/?q=16.801247,-96.453122" TargetMode="External"/><Relationship Id="rId1955" Type="http://schemas.openxmlformats.org/officeDocument/2006/relationships/hyperlink" Target="https://maps.google.com/?q=16.78081,-96.032379" TargetMode="External"/><Relationship Id="rId3170" Type="http://schemas.openxmlformats.org/officeDocument/2006/relationships/hyperlink" Target="https://maps.google.com/?q=16.783826924438,-96.569354568117" TargetMode="External"/><Relationship Id="rId1608" Type="http://schemas.openxmlformats.org/officeDocument/2006/relationships/hyperlink" Target="https://maps.google.com/?q=16.937992,-97.999469" TargetMode="External"/><Relationship Id="rId1815" Type="http://schemas.openxmlformats.org/officeDocument/2006/relationships/hyperlink" Target="https://maps.google.com/?q=17.023818726986,-96.716464505608" TargetMode="External"/><Relationship Id="rId3030" Type="http://schemas.openxmlformats.org/officeDocument/2006/relationships/hyperlink" Target="https://maps.google.com/?q=16.300135,-96.770054" TargetMode="External"/><Relationship Id="rId3987" Type="http://schemas.openxmlformats.org/officeDocument/2006/relationships/hyperlink" Target="https://maps.google.com/?q=16.89877213,-94.69590204" TargetMode="External"/><Relationship Id="rId2589" Type="http://schemas.openxmlformats.org/officeDocument/2006/relationships/hyperlink" Target="https://maps.google.com/?q=17.0907913769,-96.7364413206" TargetMode="External"/><Relationship Id="rId2796" Type="http://schemas.openxmlformats.org/officeDocument/2006/relationships/hyperlink" Target="https://maps.google.com/?q=17.791112,-96.816731" TargetMode="External"/><Relationship Id="rId3847" Type="http://schemas.openxmlformats.org/officeDocument/2006/relationships/hyperlink" Target="https://maps.google.com/?q=17.022597521385,-96.710942291338" TargetMode="External"/><Relationship Id="rId768" Type="http://schemas.openxmlformats.org/officeDocument/2006/relationships/hyperlink" Target="https://maps.google.com/?q=17.071234638521,-96.7379785643" TargetMode="External"/><Relationship Id="rId975" Type="http://schemas.openxmlformats.org/officeDocument/2006/relationships/hyperlink" Target="https://maps.google.com/?q=15.834051910187,-96.638732850479" TargetMode="External"/><Relationship Id="rId1398" Type="http://schemas.openxmlformats.org/officeDocument/2006/relationships/hyperlink" Target="https://maps.google.com/?q=16.36098,-98.446364" TargetMode="External"/><Relationship Id="rId2449" Type="http://schemas.openxmlformats.org/officeDocument/2006/relationships/hyperlink" Target="https://maps.google.com/?q=16.253464,-96.334837" TargetMode="External"/><Relationship Id="rId2656" Type="http://schemas.openxmlformats.org/officeDocument/2006/relationships/hyperlink" Target="https://maps.google.com/?q=16.64424,-97.50228" TargetMode="External"/><Relationship Id="rId2863" Type="http://schemas.openxmlformats.org/officeDocument/2006/relationships/hyperlink" Target="https://maps.google.com/?q=17.290805511338,-97.365501413701" TargetMode="External"/><Relationship Id="rId3707" Type="http://schemas.openxmlformats.org/officeDocument/2006/relationships/hyperlink" Target="https://maps.google.com/?q=16.2075681,-97.527969" TargetMode="External"/><Relationship Id="rId3914" Type="http://schemas.openxmlformats.org/officeDocument/2006/relationships/hyperlink" Target="https://maps.google.com/?q=16.8619646,-94.72974172" TargetMode="External"/><Relationship Id="rId628" Type="http://schemas.openxmlformats.org/officeDocument/2006/relationships/hyperlink" Target="https://maps.google.com/?q=17.048516052124,-96.716898348356" TargetMode="External"/><Relationship Id="rId835" Type="http://schemas.openxmlformats.org/officeDocument/2006/relationships/hyperlink" Target="https://maps.google.com/?q=17.084977754572,-96.699485588694" TargetMode="External"/><Relationship Id="rId1258" Type="http://schemas.openxmlformats.org/officeDocument/2006/relationships/hyperlink" Target="https://maps.google.com/?q=17.180668998556,-97.933397024815" TargetMode="External"/><Relationship Id="rId1465" Type="http://schemas.openxmlformats.org/officeDocument/2006/relationships/hyperlink" Target="https://maps.google.com/?q=17.026216,-97.928115" TargetMode="External"/><Relationship Id="rId1672" Type="http://schemas.openxmlformats.org/officeDocument/2006/relationships/hyperlink" Target="https://maps.google.com/?q=16.521579,-96.977219" TargetMode="External"/><Relationship Id="rId2309" Type="http://schemas.openxmlformats.org/officeDocument/2006/relationships/hyperlink" Target="https://maps.google.com/?q=17.35944598,-96.52869966" TargetMode="External"/><Relationship Id="rId2516" Type="http://schemas.openxmlformats.org/officeDocument/2006/relationships/hyperlink" Target="https://maps.google.com/?q=16.268207,-96.309947" TargetMode="External"/><Relationship Id="rId2723" Type="http://schemas.openxmlformats.org/officeDocument/2006/relationships/hyperlink" Target="https://maps.google.com/?q=17.062420096796,-96.704635237111" TargetMode="External"/><Relationship Id="rId1118" Type="http://schemas.openxmlformats.org/officeDocument/2006/relationships/hyperlink" Target="https://maps.google.com/?q=17.050305,-96.732419" TargetMode="External"/><Relationship Id="rId1325" Type="http://schemas.openxmlformats.org/officeDocument/2006/relationships/hyperlink" Target="https://maps.google.com/?q=15.916771871596,-95.808425521496" TargetMode="External"/><Relationship Id="rId1532" Type="http://schemas.openxmlformats.org/officeDocument/2006/relationships/hyperlink" Target="https://maps.google.com/?q=17.801687,-96.959688" TargetMode="External"/><Relationship Id="rId2930" Type="http://schemas.openxmlformats.org/officeDocument/2006/relationships/hyperlink" Target="https://maps.google.com/?q=17.042964,-96.720545" TargetMode="External"/><Relationship Id="rId902" Type="http://schemas.openxmlformats.org/officeDocument/2006/relationships/hyperlink" Target="https://maps.google.com/?q=17.899575,-96.331026" TargetMode="External"/><Relationship Id="rId3497" Type="http://schemas.openxmlformats.org/officeDocument/2006/relationships/hyperlink" Target="https://maps.google.com/?q=16.790014924584,-96.553652577483" TargetMode="External"/><Relationship Id="rId31" Type="http://schemas.openxmlformats.org/officeDocument/2006/relationships/hyperlink" Target="https://maps.google.com/?q=17.335316,-98.012051" TargetMode="External"/><Relationship Id="rId2099" Type="http://schemas.openxmlformats.org/officeDocument/2006/relationships/hyperlink" Target="https://maps.google.com/?q=16.928117586295,-96.60455612551" TargetMode="External"/><Relationship Id="rId278" Type="http://schemas.openxmlformats.org/officeDocument/2006/relationships/hyperlink" Target="https://maps.google.com/?q=18.081169,-96.118475" TargetMode="External"/><Relationship Id="rId3357" Type="http://schemas.openxmlformats.org/officeDocument/2006/relationships/hyperlink" Target="https://maps.google.com/?q=16.785935922634,-96.560973569083" TargetMode="External"/><Relationship Id="rId3564" Type="http://schemas.openxmlformats.org/officeDocument/2006/relationships/hyperlink" Target="https://maps.google.com/?q=16.2030011,-97.527183" TargetMode="External"/><Relationship Id="rId3771" Type="http://schemas.openxmlformats.org/officeDocument/2006/relationships/hyperlink" Target="https://maps.google.com/?q=16.2088821,-97.5313681" TargetMode="External"/><Relationship Id="rId485" Type="http://schemas.openxmlformats.org/officeDocument/2006/relationships/hyperlink" Target="https://maps.google.com/?q=17.533413636264,-97.721553621649" TargetMode="External"/><Relationship Id="rId692" Type="http://schemas.openxmlformats.org/officeDocument/2006/relationships/hyperlink" Target="https://maps.google.com/?q=17.052041309863,-96.716427637192" TargetMode="External"/><Relationship Id="rId2166" Type="http://schemas.openxmlformats.org/officeDocument/2006/relationships/hyperlink" Target="https://maps.google.com/?q=17.0499762,-96.63825347" TargetMode="External"/><Relationship Id="rId2373" Type="http://schemas.openxmlformats.org/officeDocument/2006/relationships/hyperlink" Target="https://maps.google.com/?q=17.38308655,-96.50066088" TargetMode="External"/><Relationship Id="rId2580" Type="http://schemas.openxmlformats.org/officeDocument/2006/relationships/hyperlink" Target="https://maps.google.com/?q=17.089833355,-96.73680485" TargetMode="External"/><Relationship Id="rId3217" Type="http://schemas.openxmlformats.org/officeDocument/2006/relationships/hyperlink" Target="https://maps.google.com/?q=16.784990916873,-96.572458565253" TargetMode="External"/><Relationship Id="rId3424" Type="http://schemas.openxmlformats.org/officeDocument/2006/relationships/hyperlink" Target="https://maps.google.com/?q=16.786662929039,-96.560097569547" TargetMode="External"/><Relationship Id="rId3631" Type="http://schemas.openxmlformats.org/officeDocument/2006/relationships/hyperlink" Target="https://maps.google.com/?q=16.2055671,-97.526326" TargetMode="External"/><Relationship Id="rId138" Type="http://schemas.openxmlformats.org/officeDocument/2006/relationships/hyperlink" Target="https://maps.google.com/?q=17.268559,-97.67394" TargetMode="External"/><Relationship Id="rId345" Type="http://schemas.openxmlformats.org/officeDocument/2006/relationships/hyperlink" Target="https://maps.google.com/?q=16.9864100362,-97.656563663621" TargetMode="External"/><Relationship Id="rId552" Type="http://schemas.openxmlformats.org/officeDocument/2006/relationships/hyperlink" Target="https://maps.google.com/?q=17.071544120503,-96.715912270785" TargetMode="External"/><Relationship Id="rId1182" Type="http://schemas.openxmlformats.org/officeDocument/2006/relationships/hyperlink" Target="https://maps.google.com/?q=16.692162380896,-97.26111579895" TargetMode="External"/><Relationship Id="rId2026" Type="http://schemas.openxmlformats.org/officeDocument/2006/relationships/hyperlink" Target="https://maps.google.com/?q=16.78334,-96.032613" TargetMode="External"/><Relationship Id="rId2233" Type="http://schemas.openxmlformats.org/officeDocument/2006/relationships/hyperlink" Target="https://maps.google.com/?q=17.34361769,-96.5291281" TargetMode="External"/><Relationship Id="rId2440" Type="http://schemas.openxmlformats.org/officeDocument/2006/relationships/hyperlink" Target="https://maps.google.com/?q=16.252611,-96.339373" TargetMode="External"/><Relationship Id="rId205" Type="http://schemas.openxmlformats.org/officeDocument/2006/relationships/hyperlink" Target="https://maps.google.com/?q=15.906439995185,-96.219052897504" TargetMode="External"/><Relationship Id="rId412" Type="http://schemas.openxmlformats.org/officeDocument/2006/relationships/hyperlink" Target="https://maps.google.com/?q=17.539892463905,-97.739155039007" TargetMode="External"/><Relationship Id="rId1042" Type="http://schemas.openxmlformats.org/officeDocument/2006/relationships/hyperlink" Target="https://maps.google.com/?q=17.026216,-97.928115" TargetMode="External"/><Relationship Id="rId2300" Type="http://schemas.openxmlformats.org/officeDocument/2006/relationships/hyperlink" Target="https://maps.google.com/?q=17.35649632,-96.52974559" TargetMode="External"/><Relationship Id="rId1999" Type="http://schemas.openxmlformats.org/officeDocument/2006/relationships/hyperlink" Target="https://maps.google.com/?q=16.782673,-96.035063" TargetMode="External"/><Relationship Id="rId1859" Type="http://schemas.openxmlformats.org/officeDocument/2006/relationships/hyperlink" Target="https://maps.google.com/?q=16.069879283839,-96.305574822975" TargetMode="External"/><Relationship Id="rId3074" Type="http://schemas.openxmlformats.org/officeDocument/2006/relationships/hyperlink" Target="https://maps.google.com/?q=16.060164,-97.735166" TargetMode="External"/><Relationship Id="rId1719" Type="http://schemas.openxmlformats.org/officeDocument/2006/relationships/hyperlink" Target="https://maps.google.com/?q=16.795017,-96.46277" TargetMode="External"/><Relationship Id="rId1926" Type="http://schemas.openxmlformats.org/officeDocument/2006/relationships/hyperlink" Target="https://maps.google.com/?q=16.77969,-96.037319" TargetMode="External"/><Relationship Id="rId3281" Type="http://schemas.openxmlformats.org/officeDocument/2006/relationships/hyperlink" Target="https://maps.google.com/?q=16.785579920818,-96.576814564071" TargetMode="External"/><Relationship Id="rId2090" Type="http://schemas.openxmlformats.org/officeDocument/2006/relationships/hyperlink" Target="https://maps.google.com/?q=16.924876305037,-96.605260310398" TargetMode="External"/><Relationship Id="rId3141" Type="http://schemas.openxmlformats.org/officeDocument/2006/relationships/hyperlink" Target="https://maps.google.com/?q=16.77842428,-96.58235715" TargetMode="External"/><Relationship Id="rId3001" Type="http://schemas.openxmlformats.org/officeDocument/2006/relationships/hyperlink" Target="https://maps.google.com/?q=17.288165866661,-98.014746036134" TargetMode="External"/><Relationship Id="rId3958" Type="http://schemas.openxmlformats.org/officeDocument/2006/relationships/hyperlink" Target="https://maps.google.com/?q=16.88731069,-94.70718437" TargetMode="External"/><Relationship Id="rId879" Type="http://schemas.openxmlformats.org/officeDocument/2006/relationships/hyperlink" Target="https://maps.google.com/?q=17.120224051665,-96.758075908217" TargetMode="External"/><Relationship Id="rId2767" Type="http://schemas.openxmlformats.org/officeDocument/2006/relationships/hyperlink" Target="https://maps.google.com/?q=17.786912,-96.804675" TargetMode="External"/><Relationship Id="rId739" Type="http://schemas.openxmlformats.org/officeDocument/2006/relationships/hyperlink" Target="https://maps.google.com/?q=17.06029821069,-96.73087361767" TargetMode="External"/><Relationship Id="rId1369" Type="http://schemas.openxmlformats.org/officeDocument/2006/relationships/hyperlink" Target="https://maps.google.com/?q=17.057199891438,-96.061959890182" TargetMode="External"/><Relationship Id="rId1576" Type="http://schemas.openxmlformats.org/officeDocument/2006/relationships/hyperlink" Target="https://maps.google.com/?q=17.0597700588,-96.705329" TargetMode="External"/><Relationship Id="rId2974" Type="http://schemas.openxmlformats.org/officeDocument/2006/relationships/hyperlink" Target="https://maps.google.com/?q=17.060410351,-96.705449205" TargetMode="External"/><Relationship Id="rId3818" Type="http://schemas.openxmlformats.org/officeDocument/2006/relationships/hyperlink" Target="https://maps.google.com/?q=16.2127594,-97.5298616" TargetMode="External"/><Relationship Id="rId946" Type="http://schemas.openxmlformats.org/officeDocument/2006/relationships/hyperlink" Target="https://maps.google.com/?q=16.898678456747,-96.466637942258" TargetMode="External"/><Relationship Id="rId1229" Type="http://schemas.openxmlformats.org/officeDocument/2006/relationships/hyperlink" Target="https://maps.google.com/?q=16.384319195584,-97.991681143517" TargetMode="External"/><Relationship Id="rId1783" Type="http://schemas.openxmlformats.org/officeDocument/2006/relationships/hyperlink" Target="https://maps.google.com/?q=17.98466,-96.8319" TargetMode="External"/><Relationship Id="rId1990" Type="http://schemas.openxmlformats.org/officeDocument/2006/relationships/hyperlink" Target="https://maps.google.com/?q=16.781981,-96.032127" TargetMode="External"/><Relationship Id="rId2627" Type="http://schemas.openxmlformats.org/officeDocument/2006/relationships/hyperlink" Target="https://maps.google.com/?q=17.336386,-97.167237" TargetMode="External"/><Relationship Id="rId2834" Type="http://schemas.openxmlformats.org/officeDocument/2006/relationships/hyperlink" Target="https://maps.google.com/?q=17.283409738878,-97.372847426468" TargetMode="External"/><Relationship Id="rId75" Type="http://schemas.openxmlformats.org/officeDocument/2006/relationships/hyperlink" Target="https://maps.google.com/?q=16.434564,-96.900453" TargetMode="External"/><Relationship Id="rId806" Type="http://schemas.openxmlformats.org/officeDocument/2006/relationships/hyperlink" Target="https://maps.google.com/?q=17.083207225281,-96.696609981178" TargetMode="External"/><Relationship Id="rId1436" Type="http://schemas.openxmlformats.org/officeDocument/2006/relationships/hyperlink" Target="https://maps.google.com/?q=17.724615,-97.323898" TargetMode="External"/><Relationship Id="rId1643" Type="http://schemas.openxmlformats.org/officeDocument/2006/relationships/hyperlink" Target="https://maps.google.com/?q=16.848798856441,-95.53134983953" TargetMode="External"/><Relationship Id="rId1850" Type="http://schemas.openxmlformats.org/officeDocument/2006/relationships/hyperlink" Target="https://maps.google.com/?q=16.068131440367,-96.299674721911" TargetMode="External"/><Relationship Id="rId2901" Type="http://schemas.openxmlformats.org/officeDocument/2006/relationships/hyperlink" Target="https://maps.google.com/?q=17.262522,-96.396569" TargetMode="External"/><Relationship Id="rId1503" Type="http://schemas.openxmlformats.org/officeDocument/2006/relationships/hyperlink" Target="https://maps.google.com/?q=17.052046230645,-96.732215822577" TargetMode="External"/><Relationship Id="rId1710" Type="http://schemas.openxmlformats.org/officeDocument/2006/relationships/hyperlink" Target="https://maps.google.com/?q=16.526075,-96.977762" TargetMode="External"/><Relationship Id="rId3468" Type="http://schemas.openxmlformats.org/officeDocument/2006/relationships/hyperlink" Target="https://maps.google.com/?q=16.788896923936,-96.553548571202" TargetMode="External"/><Relationship Id="rId3675" Type="http://schemas.openxmlformats.org/officeDocument/2006/relationships/hyperlink" Target="https://maps.google.com/?q=16.2069921,-97.532839" TargetMode="External"/><Relationship Id="rId3882" Type="http://schemas.openxmlformats.org/officeDocument/2006/relationships/hyperlink" Target="https://maps.google.com/?q=17.827383,-97.804278" TargetMode="External"/><Relationship Id="rId389" Type="http://schemas.openxmlformats.org/officeDocument/2006/relationships/hyperlink" Target="https://maps.google.com/?q=17.475025230411,-97.706753393849" TargetMode="External"/><Relationship Id="rId596" Type="http://schemas.openxmlformats.org/officeDocument/2006/relationships/hyperlink" Target="https://maps.google.com/?q=17.046037985967,-96.722679127709" TargetMode="External"/><Relationship Id="rId2277" Type="http://schemas.openxmlformats.org/officeDocument/2006/relationships/hyperlink" Target="https://maps.google.com/?q=17.35345423,-96.52769838" TargetMode="External"/><Relationship Id="rId2484" Type="http://schemas.openxmlformats.org/officeDocument/2006/relationships/hyperlink" Target="https://maps.google.com/?q=16.257555,-96.316721" TargetMode="External"/><Relationship Id="rId2691" Type="http://schemas.openxmlformats.org/officeDocument/2006/relationships/hyperlink" Target="https://maps.google.com/?q=17.066815418382,-96.734439770024" TargetMode="External"/><Relationship Id="rId3328" Type="http://schemas.openxmlformats.org/officeDocument/2006/relationships/hyperlink" Target="https://maps.google.com/?q=16.785825917866,-96.573177560366" TargetMode="External"/><Relationship Id="rId3535" Type="http://schemas.openxmlformats.org/officeDocument/2006/relationships/hyperlink" Target="https://maps.google.com/?q=16.790930924488,-96.553908578432" TargetMode="External"/><Relationship Id="rId3742" Type="http://schemas.openxmlformats.org/officeDocument/2006/relationships/hyperlink" Target="https://maps.google.com/?q=16.2083191,-97.532911" TargetMode="External"/><Relationship Id="rId249" Type="http://schemas.openxmlformats.org/officeDocument/2006/relationships/hyperlink" Target="https://maps.google.com/?q=16.279813238911,-97.830113845924" TargetMode="External"/><Relationship Id="rId456" Type="http://schemas.openxmlformats.org/officeDocument/2006/relationships/hyperlink" Target="https://maps.google.com/?q=17.500634801046,-97.720812258299" TargetMode="External"/><Relationship Id="rId663" Type="http://schemas.openxmlformats.org/officeDocument/2006/relationships/hyperlink" Target="https://maps.google.com/?q=17.050645565271,-96.716571087331" TargetMode="External"/><Relationship Id="rId870" Type="http://schemas.openxmlformats.org/officeDocument/2006/relationships/hyperlink" Target="https://maps.google.com/?q=17.11620098578,-96.758764988052" TargetMode="External"/><Relationship Id="rId1086" Type="http://schemas.openxmlformats.org/officeDocument/2006/relationships/hyperlink" Target="https://maps.google.com/?q=17.11837,-96.761159" TargetMode="External"/><Relationship Id="rId1293" Type="http://schemas.openxmlformats.org/officeDocument/2006/relationships/hyperlink" Target="https://maps.google.com/?q=16.93322190494,-96.701159671129" TargetMode="External"/><Relationship Id="rId2137" Type="http://schemas.openxmlformats.org/officeDocument/2006/relationships/hyperlink" Target="https://maps.google.com/?q=16.877531410719,-97.506640267145" TargetMode="External"/><Relationship Id="rId2344" Type="http://schemas.openxmlformats.org/officeDocument/2006/relationships/hyperlink" Target="https://maps.google.com/?q=17.37914165,-96.50516369" TargetMode="External"/><Relationship Id="rId2551" Type="http://schemas.openxmlformats.org/officeDocument/2006/relationships/hyperlink" Target="https://maps.google.com/?q=17.320816728478,-97.218887602891" TargetMode="External"/><Relationship Id="rId109" Type="http://schemas.openxmlformats.org/officeDocument/2006/relationships/hyperlink" Target="https://maps.google.com/?q=16.540577784738,-98.063523811625" TargetMode="External"/><Relationship Id="rId316" Type="http://schemas.openxmlformats.org/officeDocument/2006/relationships/hyperlink" Target="https://maps.google.com/?q=17.008236551547,-97.700653566696" TargetMode="External"/><Relationship Id="rId523" Type="http://schemas.openxmlformats.org/officeDocument/2006/relationships/hyperlink" Target="https://maps.google.com/?q=16.330252229106,-96.641913125424" TargetMode="External"/><Relationship Id="rId1153" Type="http://schemas.openxmlformats.org/officeDocument/2006/relationships/hyperlink" Target="https://maps.google.com/?q=15.854109605419,-97.046104685844" TargetMode="External"/><Relationship Id="rId2204" Type="http://schemas.openxmlformats.org/officeDocument/2006/relationships/hyperlink" Target="https://maps.google.com/?q=16.640101576711,-96.58553031942" TargetMode="External"/><Relationship Id="rId3602" Type="http://schemas.openxmlformats.org/officeDocument/2006/relationships/hyperlink" Target="https://maps.google.com/?q=16.2053462,-97.5268423" TargetMode="External"/><Relationship Id="rId730" Type="http://schemas.openxmlformats.org/officeDocument/2006/relationships/hyperlink" Target="https://maps.google.com/?q=17.058637961515,-96.727289472122" TargetMode="External"/><Relationship Id="rId1013" Type="http://schemas.openxmlformats.org/officeDocument/2006/relationships/hyperlink" Target="https://maps.google.com/?q=17.467177,-97.359871" TargetMode="External"/><Relationship Id="rId1360" Type="http://schemas.openxmlformats.org/officeDocument/2006/relationships/hyperlink" Target="https://maps.google.com/?q=17.595,-96.636111" TargetMode="External"/><Relationship Id="rId2411" Type="http://schemas.openxmlformats.org/officeDocument/2006/relationships/hyperlink" Target="https://maps.google.com/?q=16.249652,-96.341788" TargetMode="External"/><Relationship Id="rId1220" Type="http://schemas.openxmlformats.org/officeDocument/2006/relationships/hyperlink" Target="https://maps.google.com/?q=16.7973794066,-96.649191942293" TargetMode="External"/><Relationship Id="rId3185" Type="http://schemas.openxmlformats.org/officeDocument/2006/relationships/hyperlink" Target="https://maps.google.com/?q=16.78451592007,-96.56946556317" TargetMode="External"/><Relationship Id="rId3392" Type="http://schemas.openxmlformats.org/officeDocument/2006/relationships/hyperlink" Target="https://maps.google.com/?q=16.786102925341,-96.557531574444" TargetMode="External"/><Relationship Id="rId3045" Type="http://schemas.openxmlformats.org/officeDocument/2006/relationships/hyperlink" Target="https://maps.google.com/?q=17.066172,-96.759722" TargetMode="External"/><Relationship Id="rId3252" Type="http://schemas.openxmlformats.org/officeDocument/2006/relationships/hyperlink" Target="https://maps.google.com/?q=16.785324923705,-96.574131565828" TargetMode="External"/><Relationship Id="rId173" Type="http://schemas.openxmlformats.org/officeDocument/2006/relationships/hyperlink" Target="https://maps.google.com/?q=17.274483,-97.671922" TargetMode="External"/><Relationship Id="rId380" Type="http://schemas.openxmlformats.org/officeDocument/2006/relationships/hyperlink" Target="https://maps.google.com/?q=17.469731787601,-97.708331101853" TargetMode="External"/><Relationship Id="rId2061" Type="http://schemas.openxmlformats.org/officeDocument/2006/relationships/hyperlink" Target="https://maps.google.com/?q=16.784527,-96.031509" TargetMode="External"/><Relationship Id="rId3112" Type="http://schemas.openxmlformats.org/officeDocument/2006/relationships/hyperlink" Target="https://maps.google.com/?q=17.975255,-96.703127" TargetMode="External"/><Relationship Id="rId240" Type="http://schemas.openxmlformats.org/officeDocument/2006/relationships/hyperlink" Target="https://maps.google.com/?q=15.912605258932,-96.21110964006" TargetMode="External"/><Relationship Id="rId100" Type="http://schemas.openxmlformats.org/officeDocument/2006/relationships/hyperlink" Target="https://maps.google.com/?q=16.740210051059,-96.713935699446" TargetMode="External"/><Relationship Id="rId2878" Type="http://schemas.openxmlformats.org/officeDocument/2006/relationships/hyperlink" Target="https://maps.google.com/?q=17.056214546076,-96.823316417383" TargetMode="External"/><Relationship Id="rId3929" Type="http://schemas.openxmlformats.org/officeDocument/2006/relationships/hyperlink" Target="https://maps.google.com/?q=16.86842445,-94.72557743" TargetMode="External"/><Relationship Id="rId1687" Type="http://schemas.openxmlformats.org/officeDocument/2006/relationships/hyperlink" Target="https://maps.google.com/?q=16.523882,-96.978061" TargetMode="External"/><Relationship Id="rId1894" Type="http://schemas.openxmlformats.org/officeDocument/2006/relationships/hyperlink" Target="https://maps.google.com/?q=16.778456,-96.032814" TargetMode="External"/><Relationship Id="rId2738" Type="http://schemas.openxmlformats.org/officeDocument/2006/relationships/hyperlink" Target="https://maps.google.com/?q=17.246510135649,-96.888705809324" TargetMode="External"/><Relationship Id="rId2945" Type="http://schemas.openxmlformats.org/officeDocument/2006/relationships/hyperlink" Target="https://maps.google.com/?q=17.766081278321,-96.956191027199" TargetMode="External"/><Relationship Id="rId917" Type="http://schemas.openxmlformats.org/officeDocument/2006/relationships/hyperlink" Target="https://maps.google.com/?q=17.652177,-98.087845" TargetMode="External"/><Relationship Id="rId1547" Type="http://schemas.openxmlformats.org/officeDocument/2006/relationships/hyperlink" Target="https://maps.google.com/?q=17.424719,-97.310475" TargetMode="External"/><Relationship Id="rId1754" Type="http://schemas.openxmlformats.org/officeDocument/2006/relationships/hyperlink" Target="https://maps.google.com/?q=16.80406,-96.452682" TargetMode="External"/><Relationship Id="rId1961" Type="http://schemas.openxmlformats.org/officeDocument/2006/relationships/hyperlink" Target="https://maps.google.com/?q=16.78098,-96.032649" TargetMode="External"/><Relationship Id="rId2805" Type="http://schemas.openxmlformats.org/officeDocument/2006/relationships/hyperlink" Target="https://maps.google.com/?q=17.796954,-96.818179" TargetMode="External"/><Relationship Id="rId46" Type="http://schemas.openxmlformats.org/officeDocument/2006/relationships/hyperlink" Target="https://maps.google.com/?q=16.331244,-95.2310622" TargetMode="External"/><Relationship Id="rId1407" Type="http://schemas.openxmlformats.org/officeDocument/2006/relationships/hyperlink" Target="https://maps.google.com/?q=17.064048,-96.724136" TargetMode="External"/><Relationship Id="rId1614" Type="http://schemas.openxmlformats.org/officeDocument/2006/relationships/hyperlink" Target="https://maps.google.com/?q=16.096663,-97.407772" TargetMode="External"/><Relationship Id="rId1821" Type="http://schemas.openxmlformats.org/officeDocument/2006/relationships/hyperlink" Target="https://maps.google.com/?q=16.738511024657,-96.315331832555" TargetMode="External"/><Relationship Id="rId3579" Type="http://schemas.openxmlformats.org/officeDocument/2006/relationships/hyperlink" Target="https://maps.google.com/?q=16.2047871,-97.5289" TargetMode="External"/><Relationship Id="rId3786" Type="http://schemas.openxmlformats.org/officeDocument/2006/relationships/hyperlink" Target="https://maps.google.com/?q=16.2091311,-97.528716" TargetMode="External"/><Relationship Id="rId2388" Type="http://schemas.openxmlformats.org/officeDocument/2006/relationships/hyperlink" Target="https://maps.google.com/?q=16.248574,-96.339593" TargetMode="External"/><Relationship Id="rId2595" Type="http://schemas.openxmlformats.org/officeDocument/2006/relationships/hyperlink" Target="https://maps.google.com/?q=17.091309852,-96.73668408" TargetMode="External"/><Relationship Id="rId3439" Type="http://schemas.openxmlformats.org/officeDocument/2006/relationships/hyperlink" Target="https://maps.google.com/?q=16.787796925231,-96.55588257404" TargetMode="External"/><Relationship Id="rId3993" Type="http://schemas.openxmlformats.org/officeDocument/2006/relationships/hyperlink" Target="https://maps.google.com/?q=16.90000016,-94.69382926" TargetMode="External"/><Relationship Id="rId567" Type="http://schemas.openxmlformats.org/officeDocument/2006/relationships/hyperlink" Target="https://maps.google.com/?q=17.039172540582,-96.717635716087" TargetMode="External"/><Relationship Id="rId1197" Type="http://schemas.openxmlformats.org/officeDocument/2006/relationships/hyperlink" Target="https://maps.google.com/?q=16.918618698362,-96.36141140741" TargetMode="External"/><Relationship Id="rId2248" Type="http://schemas.openxmlformats.org/officeDocument/2006/relationships/hyperlink" Target="https://maps.google.com/?q=17.34970801,-96.52860447" TargetMode="External"/><Relationship Id="rId3646" Type="http://schemas.openxmlformats.org/officeDocument/2006/relationships/hyperlink" Target="https://maps.google.com/?q=16.2059431,-97.528656" TargetMode="External"/><Relationship Id="rId3853" Type="http://schemas.openxmlformats.org/officeDocument/2006/relationships/hyperlink" Target="https://maps.google.com/?q=17.027594944289,-96.709912311989" TargetMode="External"/><Relationship Id="rId774" Type="http://schemas.openxmlformats.org/officeDocument/2006/relationships/hyperlink" Target="https://maps.google.com/?q=17.075131049614,-96.740594642463" TargetMode="External"/><Relationship Id="rId981" Type="http://schemas.openxmlformats.org/officeDocument/2006/relationships/hyperlink" Target="https://maps.google.com/?q=17.091118,-97.115542" TargetMode="External"/><Relationship Id="rId1057" Type="http://schemas.openxmlformats.org/officeDocument/2006/relationships/hyperlink" Target="https://maps.google.com/?q=18.081169,-96.118475" TargetMode="External"/><Relationship Id="rId2455" Type="http://schemas.openxmlformats.org/officeDocument/2006/relationships/hyperlink" Target="https://maps.google.com/?q=16.254187,-96.337967" TargetMode="External"/><Relationship Id="rId2662" Type="http://schemas.openxmlformats.org/officeDocument/2006/relationships/hyperlink" Target="https://maps.google.com/?q=17.06015891427,-96.716211477559" TargetMode="External"/><Relationship Id="rId3506" Type="http://schemas.openxmlformats.org/officeDocument/2006/relationships/hyperlink" Target="https://maps.google.com/?q=16.790252923174,-96.554387574207" TargetMode="External"/><Relationship Id="rId3713" Type="http://schemas.openxmlformats.org/officeDocument/2006/relationships/hyperlink" Target="https://maps.google.com/?q=16.2077621,-97.529963" TargetMode="External"/><Relationship Id="rId3920" Type="http://schemas.openxmlformats.org/officeDocument/2006/relationships/hyperlink" Target="https://maps.google.com/?q=16.86239431,-94.72807522" TargetMode="External"/><Relationship Id="rId427" Type="http://schemas.openxmlformats.org/officeDocument/2006/relationships/hyperlink" Target="https://maps.google.com/?q=17.503793479553,-97.732277310074" TargetMode="External"/><Relationship Id="rId634" Type="http://schemas.openxmlformats.org/officeDocument/2006/relationships/hyperlink" Target="https://maps.google.com/?q=17.048862416948,-96.716792375441" TargetMode="External"/><Relationship Id="rId841" Type="http://schemas.openxmlformats.org/officeDocument/2006/relationships/hyperlink" Target="https://maps.google.com/?q=17.085352339946,-96.696825811922" TargetMode="External"/><Relationship Id="rId1264" Type="http://schemas.openxmlformats.org/officeDocument/2006/relationships/hyperlink" Target="https://maps.google.com/?q=18.074693479414,-96.130887818281" TargetMode="External"/><Relationship Id="rId1471" Type="http://schemas.openxmlformats.org/officeDocument/2006/relationships/hyperlink" Target="https://maps.google.com/?q=17.335316,-98.012051" TargetMode="External"/><Relationship Id="rId2108" Type="http://schemas.openxmlformats.org/officeDocument/2006/relationships/hyperlink" Target="https://maps.google.com/?q=16.929083640194,-96.609242435085" TargetMode="External"/><Relationship Id="rId2315" Type="http://schemas.openxmlformats.org/officeDocument/2006/relationships/hyperlink" Target="https://maps.google.com/?q=17.36770319,-96.50847903" TargetMode="External"/><Relationship Id="rId2522" Type="http://schemas.openxmlformats.org/officeDocument/2006/relationships/hyperlink" Target="https://maps.google.com/?q=16.269367,-96.310338" TargetMode="External"/><Relationship Id="rId701" Type="http://schemas.openxmlformats.org/officeDocument/2006/relationships/hyperlink" Target="https://maps.google.com/?q=17.052807751733,-96.718667204999" TargetMode="External"/><Relationship Id="rId1124" Type="http://schemas.openxmlformats.org/officeDocument/2006/relationships/hyperlink" Target="https://maps.google.com/?q=17.06544,-96.740222" TargetMode="External"/><Relationship Id="rId1331" Type="http://schemas.openxmlformats.org/officeDocument/2006/relationships/hyperlink" Target="https://maps.google.com/?q=17.810663253643,-97.845030454037" TargetMode="External"/><Relationship Id="rId3089" Type="http://schemas.openxmlformats.org/officeDocument/2006/relationships/hyperlink" Target="https://maps.google.com/?q=17.970085,-96.690726" TargetMode="External"/><Relationship Id="rId3296" Type="http://schemas.openxmlformats.org/officeDocument/2006/relationships/hyperlink" Target="https://maps.google.com/?q=16.785650925256,-96.573096562767" TargetMode="External"/><Relationship Id="rId3156" Type="http://schemas.openxmlformats.org/officeDocument/2006/relationships/hyperlink" Target="https://maps.google.com/?q=16.783289922575,-96.567818567638" TargetMode="External"/><Relationship Id="rId3363" Type="http://schemas.openxmlformats.org/officeDocument/2006/relationships/hyperlink" Target="https://maps.google.com/?q=16.78594592004,-96.561431571631" TargetMode="External"/><Relationship Id="rId284" Type="http://schemas.openxmlformats.org/officeDocument/2006/relationships/hyperlink" Target="https://maps.google.com/?q=17.712102,-97.068346" TargetMode="External"/><Relationship Id="rId491" Type="http://schemas.openxmlformats.org/officeDocument/2006/relationships/hyperlink" Target="https://maps.google.com/?q=17.535637,-97.720169" TargetMode="External"/><Relationship Id="rId2172" Type="http://schemas.openxmlformats.org/officeDocument/2006/relationships/hyperlink" Target="https://maps.google.com/?q=17.05024534,-96.63929545" TargetMode="External"/><Relationship Id="rId3016" Type="http://schemas.openxmlformats.org/officeDocument/2006/relationships/hyperlink" Target="https://maps.google.com/?q=17.964858777059,-96.1263753989" TargetMode="External"/><Relationship Id="rId3223" Type="http://schemas.openxmlformats.org/officeDocument/2006/relationships/hyperlink" Target="https://maps.google.com/?q=16.785051917522,-96.572645564095" TargetMode="External"/><Relationship Id="rId3570" Type="http://schemas.openxmlformats.org/officeDocument/2006/relationships/hyperlink" Target="https://maps.google.com/?q=16.2039301,-97.528591" TargetMode="External"/><Relationship Id="rId144" Type="http://schemas.openxmlformats.org/officeDocument/2006/relationships/hyperlink" Target="https://maps.google.com/?q=17.269291,-97.674019" TargetMode="External"/><Relationship Id="rId3430" Type="http://schemas.openxmlformats.org/officeDocument/2006/relationships/hyperlink" Target="https://maps.google.com/?q=16.786914927824,-96.556437576436" TargetMode="External"/><Relationship Id="rId351" Type="http://schemas.openxmlformats.org/officeDocument/2006/relationships/hyperlink" Target="https://maps.google.com/?q=17.01673199145,-97.661289138637" TargetMode="External"/><Relationship Id="rId2032" Type="http://schemas.openxmlformats.org/officeDocument/2006/relationships/hyperlink" Target="https://maps.google.com/?q=16.783479,-96.032924" TargetMode="External"/><Relationship Id="rId2989" Type="http://schemas.openxmlformats.org/officeDocument/2006/relationships/hyperlink" Target="https://maps.google.com/?q=17.556955247211,-97.813583915344" TargetMode="External"/><Relationship Id="rId211" Type="http://schemas.openxmlformats.org/officeDocument/2006/relationships/hyperlink" Target="https://maps.google.com/?q=15.907866549987,-96.220423866386" TargetMode="External"/><Relationship Id="rId1798" Type="http://schemas.openxmlformats.org/officeDocument/2006/relationships/hyperlink" Target="https://maps.google.com/?q=17.98864,-96.83166" TargetMode="External"/><Relationship Id="rId2849" Type="http://schemas.openxmlformats.org/officeDocument/2006/relationships/hyperlink" Target="https://maps.google.com/?q=17.287428807154,-97.380894611232" TargetMode="External"/><Relationship Id="rId1658" Type="http://schemas.openxmlformats.org/officeDocument/2006/relationships/hyperlink" Target="https://maps.google.com/?q=16.517476,-96.97715" TargetMode="External"/><Relationship Id="rId1865" Type="http://schemas.openxmlformats.org/officeDocument/2006/relationships/hyperlink" Target="https://maps.google.com/?q=16.070573805635,-96.30341426326" TargetMode="External"/><Relationship Id="rId2709" Type="http://schemas.openxmlformats.org/officeDocument/2006/relationships/hyperlink" Target="https://maps.google.com/?q=17.081693750756,-96.714139110727" TargetMode="External"/><Relationship Id="rId1518" Type="http://schemas.openxmlformats.org/officeDocument/2006/relationships/hyperlink" Target="https://maps.google.com/?q=16.95558,-96.479206" TargetMode="External"/><Relationship Id="rId2916" Type="http://schemas.openxmlformats.org/officeDocument/2006/relationships/hyperlink" Target="https://maps.google.com/?q=16.5478,-97.782658" TargetMode="External"/><Relationship Id="rId3080" Type="http://schemas.openxmlformats.org/officeDocument/2006/relationships/hyperlink" Target="https://maps.google.com/?q=16.137776,-97.75443" TargetMode="External"/><Relationship Id="rId1725" Type="http://schemas.openxmlformats.org/officeDocument/2006/relationships/hyperlink" Target="https://maps.google.com/?q=16.796887,-96.454043" TargetMode="External"/><Relationship Id="rId1932" Type="http://schemas.openxmlformats.org/officeDocument/2006/relationships/hyperlink" Target="https://maps.google.com/?q=16.779995,-96.036879" TargetMode="External"/><Relationship Id="rId17" Type="http://schemas.openxmlformats.org/officeDocument/2006/relationships/hyperlink" Target="https://maps.google.com/?q=16.433347,-95.021687" TargetMode="External"/><Relationship Id="rId3897" Type="http://schemas.openxmlformats.org/officeDocument/2006/relationships/hyperlink" Target="https://maps.google.com/?q=16.85941068,-94.73683164" TargetMode="External"/><Relationship Id="rId2499" Type="http://schemas.openxmlformats.org/officeDocument/2006/relationships/hyperlink" Target="https://maps.google.com/?q=16.262767,-96.311589" TargetMode="External"/><Relationship Id="rId3757" Type="http://schemas.openxmlformats.org/officeDocument/2006/relationships/hyperlink" Target="https://maps.google.com/?q=16.2085691,-97.528546" TargetMode="External"/><Relationship Id="rId3964" Type="http://schemas.openxmlformats.org/officeDocument/2006/relationships/hyperlink" Target="https://maps.google.com/?q=16.89003623,-94.7054256" TargetMode="External"/><Relationship Id="rId1" Type="http://schemas.openxmlformats.org/officeDocument/2006/relationships/hyperlink" Target="https://maps.google.com/?q=17.122804108607,-96.801463134794" TargetMode="External"/><Relationship Id="rId678" Type="http://schemas.openxmlformats.org/officeDocument/2006/relationships/hyperlink" Target="https://maps.google.com/?q=17.051332490087,-96.715342271422" TargetMode="External"/><Relationship Id="rId885" Type="http://schemas.openxmlformats.org/officeDocument/2006/relationships/hyperlink" Target="https://maps.google.com/?q=17.1222133,-96.7643631" TargetMode="External"/><Relationship Id="rId2359" Type="http://schemas.openxmlformats.org/officeDocument/2006/relationships/hyperlink" Target="https://maps.google.com/?q=17.37994408,-96.50504934" TargetMode="External"/><Relationship Id="rId2566" Type="http://schemas.openxmlformats.org/officeDocument/2006/relationships/hyperlink" Target="https://maps.google.com/?q=17.088488198,-96.73779854" TargetMode="External"/><Relationship Id="rId2773" Type="http://schemas.openxmlformats.org/officeDocument/2006/relationships/hyperlink" Target="https://maps.google.com/?q=17.787708,-96.807211" TargetMode="External"/><Relationship Id="rId2980" Type="http://schemas.openxmlformats.org/officeDocument/2006/relationships/hyperlink" Target="https://maps.google.com/?q=17.060791757,-96.70572486" TargetMode="External"/><Relationship Id="rId3617" Type="http://schemas.openxmlformats.org/officeDocument/2006/relationships/hyperlink" Target="https://maps.google.com/?q=16.205445,-97.52526" TargetMode="External"/><Relationship Id="rId3824" Type="http://schemas.openxmlformats.org/officeDocument/2006/relationships/hyperlink" Target="https://maps.google.com/?q=16.2137371,-97.529897" TargetMode="External"/><Relationship Id="rId538" Type="http://schemas.openxmlformats.org/officeDocument/2006/relationships/hyperlink" Target="https://maps.google.com/?q=17.071544120503,-96.715912270785" TargetMode="External"/><Relationship Id="rId745" Type="http://schemas.openxmlformats.org/officeDocument/2006/relationships/hyperlink" Target="https://maps.google.com/?q=17.061401911637,-96.706244838028" TargetMode="External"/><Relationship Id="rId952" Type="http://schemas.openxmlformats.org/officeDocument/2006/relationships/hyperlink" Target="https://maps.google.com/?q=16.720918631129,-96.872606395517" TargetMode="External"/><Relationship Id="rId1168" Type="http://schemas.openxmlformats.org/officeDocument/2006/relationships/hyperlink" Target="https://maps.google.com/?q=16.417242451128,-98.061897669975" TargetMode="External"/><Relationship Id="rId1375" Type="http://schemas.openxmlformats.org/officeDocument/2006/relationships/hyperlink" Target="https://maps.google.com/?q=16.087108604209,-96.246411798777" TargetMode="External"/><Relationship Id="rId1582" Type="http://schemas.openxmlformats.org/officeDocument/2006/relationships/hyperlink" Target="https://maps.google.com/?q=17.025739,-96.71301454" TargetMode="External"/><Relationship Id="rId2219" Type="http://schemas.openxmlformats.org/officeDocument/2006/relationships/hyperlink" Target="https://maps.google.com/?q=16.644923449622,-96.578006465233" TargetMode="External"/><Relationship Id="rId2426" Type="http://schemas.openxmlformats.org/officeDocument/2006/relationships/hyperlink" Target="https://maps.google.com/?q=16.250601,-96.345437" TargetMode="External"/><Relationship Id="rId2633" Type="http://schemas.openxmlformats.org/officeDocument/2006/relationships/hyperlink" Target="https://maps.google.com/?q=17.042845617441,-96.72106646417" TargetMode="External"/><Relationship Id="rId81" Type="http://schemas.openxmlformats.org/officeDocument/2006/relationships/hyperlink" Target="https://maps.google.com/?q=17.0686841,-96.7307483" TargetMode="External"/><Relationship Id="rId605" Type="http://schemas.openxmlformats.org/officeDocument/2006/relationships/hyperlink" Target="https://maps.google.com/?q=17.046576414597,-96.722325723344" TargetMode="External"/><Relationship Id="rId812" Type="http://schemas.openxmlformats.org/officeDocument/2006/relationships/hyperlink" Target="https://maps.google.com/?q=17.083574505924,-96.69807195912" TargetMode="External"/><Relationship Id="rId1028" Type="http://schemas.openxmlformats.org/officeDocument/2006/relationships/hyperlink" Target="https://maps.google.com/?q=17.038431,-96.789107" TargetMode="External"/><Relationship Id="rId1235" Type="http://schemas.openxmlformats.org/officeDocument/2006/relationships/hyperlink" Target="https://maps.google.com/?q=16.174346110384,-97.961367904724" TargetMode="External"/><Relationship Id="rId1442" Type="http://schemas.openxmlformats.org/officeDocument/2006/relationships/hyperlink" Target="https://maps.google.com/?q=16.237076,-97.292352" TargetMode="External"/><Relationship Id="rId2840" Type="http://schemas.openxmlformats.org/officeDocument/2006/relationships/hyperlink" Target="https://maps.google.com/?q=17.285396608344,-97.377173046231" TargetMode="External"/><Relationship Id="rId1302" Type="http://schemas.openxmlformats.org/officeDocument/2006/relationships/hyperlink" Target="https://maps.google.com/?q=16.48495416349,-97.983381112759" TargetMode="External"/><Relationship Id="rId2700" Type="http://schemas.openxmlformats.org/officeDocument/2006/relationships/hyperlink" Target="https://maps.google.com/?q=17.071062744487,-96.716706686361" TargetMode="External"/><Relationship Id="rId3267" Type="http://schemas.openxmlformats.org/officeDocument/2006/relationships/hyperlink" Target="https://maps.google.com/?q=16.785432924489,-96.569983562999" TargetMode="External"/><Relationship Id="rId188" Type="http://schemas.openxmlformats.org/officeDocument/2006/relationships/hyperlink" Target="https://maps.google.com/?q=17.277235280592,-97.671140387732" TargetMode="External"/><Relationship Id="rId395" Type="http://schemas.openxmlformats.org/officeDocument/2006/relationships/hyperlink" Target="https://maps.google.com/?q=17.520176010407,-97.73661242576" TargetMode="External"/><Relationship Id="rId2076" Type="http://schemas.openxmlformats.org/officeDocument/2006/relationships/hyperlink" Target="https://maps.google.com/?q=16.785844,-96.03059" TargetMode="External"/><Relationship Id="rId3474" Type="http://schemas.openxmlformats.org/officeDocument/2006/relationships/hyperlink" Target="https://maps.google.com/?q=16.789172924428,-96.55141157379" TargetMode="External"/><Relationship Id="rId3681" Type="http://schemas.openxmlformats.org/officeDocument/2006/relationships/hyperlink" Target="https://maps.google.com/?q=16.2070571,-97.528049" TargetMode="External"/><Relationship Id="rId2283" Type="http://schemas.openxmlformats.org/officeDocument/2006/relationships/hyperlink" Target="https://maps.google.com/?q=17.35421848,-96.52741538" TargetMode="External"/><Relationship Id="rId2490" Type="http://schemas.openxmlformats.org/officeDocument/2006/relationships/hyperlink" Target="https://maps.google.com/?q=16.258596,-96.315933" TargetMode="External"/><Relationship Id="rId3127" Type="http://schemas.openxmlformats.org/officeDocument/2006/relationships/hyperlink" Target="https://maps.google.com/?q=17.97719,-96.70565" TargetMode="External"/><Relationship Id="rId3334" Type="http://schemas.openxmlformats.org/officeDocument/2006/relationships/hyperlink" Target="https://maps.google.com/?q=16.785876917388,-96.573593561911" TargetMode="External"/><Relationship Id="rId3541" Type="http://schemas.openxmlformats.org/officeDocument/2006/relationships/hyperlink" Target="https://maps.google.com/?q=16.791017928979,-96.554193570629" TargetMode="External"/><Relationship Id="rId255" Type="http://schemas.openxmlformats.org/officeDocument/2006/relationships/hyperlink" Target="https://maps.google.com/?q=16.433347,-95.021687" TargetMode="External"/><Relationship Id="rId462" Type="http://schemas.openxmlformats.org/officeDocument/2006/relationships/hyperlink" Target="https://maps.google.com/?q=17.481867,-97.709051" TargetMode="External"/><Relationship Id="rId1092" Type="http://schemas.openxmlformats.org/officeDocument/2006/relationships/hyperlink" Target="https://maps.google.com/?q=17.057434,-96.709666" TargetMode="External"/><Relationship Id="rId2143" Type="http://schemas.openxmlformats.org/officeDocument/2006/relationships/hyperlink" Target="https://maps.google.com/?q=16.878242563362,-97.506259237934" TargetMode="External"/><Relationship Id="rId2350" Type="http://schemas.openxmlformats.org/officeDocument/2006/relationships/hyperlink" Target="https://maps.google.com/?q=17.37936993,-96.50319465" TargetMode="External"/><Relationship Id="rId3401" Type="http://schemas.openxmlformats.org/officeDocument/2006/relationships/hyperlink" Target="https://maps.google.com/?q=16.786227920858,-96.560432567843" TargetMode="External"/><Relationship Id="rId115" Type="http://schemas.openxmlformats.org/officeDocument/2006/relationships/hyperlink" Target="https://maps.google.com/?q=16.543557658121,-98.064992363821" TargetMode="External"/><Relationship Id="rId322" Type="http://schemas.openxmlformats.org/officeDocument/2006/relationships/hyperlink" Target="https://maps.google.com/?q=17.025573213071,-97.647694321713" TargetMode="External"/><Relationship Id="rId2003" Type="http://schemas.openxmlformats.org/officeDocument/2006/relationships/hyperlink" Target="https://maps.google.com/?q=16.782805,-96.035003" TargetMode="External"/><Relationship Id="rId2210" Type="http://schemas.openxmlformats.org/officeDocument/2006/relationships/hyperlink" Target="https://maps.google.com/?q=16.643826333202,-96.567429145111" TargetMode="External"/><Relationship Id="rId1769" Type="http://schemas.openxmlformats.org/officeDocument/2006/relationships/hyperlink" Target="https://maps.google.com/?q=17.02663477,-96.7125785" TargetMode="External"/><Relationship Id="rId1976" Type="http://schemas.openxmlformats.org/officeDocument/2006/relationships/hyperlink" Target="https://maps.google.com/?q=16.78151,-96.03247" TargetMode="External"/><Relationship Id="rId3191" Type="http://schemas.openxmlformats.org/officeDocument/2006/relationships/hyperlink" Target="https://maps.google.com/?q=16.784699918714,-96.574953565882" TargetMode="External"/><Relationship Id="rId1629" Type="http://schemas.openxmlformats.org/officeDocument/2006/relationships/hyperlink" Target="https://maps.google.com/?q=18.120724,-96.474098" TargetMode="External"/><Relationship Id="rId1836" Type="http://schemas.openxmlformats.org/officeDocument/2006/relationships/hyperlink" Target="https://maps.google.com/?q=17.933616917559,-97.678066575689" TargetMode="External"/><Relationship Id="rId1903" Type="http://schemas.openxmlformats.org/officeDocument/2006/relationships/hyperlink" Target="https://maps.google.com/?q=16.778846,-96.036869" TargetMode="External"/><Relationship Id="rId3051" Type="http://schemas.openxmlformats.org/officeDocument/2006/relationships/hyperlink" Target="https://maps.google.com/?q=17.305282,-96.914322" TargetMode="External"/><Relationship Id="rId3868" Type="http://schemas.openxmlformats.org/officeDocument/2006/relationships/hyperlink" Target="https://maps.google.com/?q=17.035195415906,-96.728262802359" TargetMode="External"/><Relationship Id="rId789" Type="http://schemas.openxmlformats.org/officeDocument/2006/relationships/hyperlink" Target="https://maps.google.com/?q=17.08194174952,-96.699744489755" TargetMode="External"/><Relationship Id="rId996" Type="http://schemas.openxmlformats.org/officeDocument/2006/relationships/hyperlink" Target="https://maps.google.com/?q=17.464057,-97.343272" TargetMode="External"/><Relationship Id="rId2677" Type="http://schemas.openxmlformats.org/officeDocument/2006/relationships/hyperlink" Target="https://maps.google.com/?q=17.063107703081,-96.73044864301" TargetMode="External"/><Relationship Id="rId2884" Type="http://schemas.openxmlformats.org/officeDocument/2006/relationships/hyperlink" Target="https://maps.google.com/?q=17.05706806309,-96.820558102268" TargetMode="External"/><Relationship Id="rId3728" Type="http://schemas.openxmlformats.org/officeDocument/2006/relationships/hyperlink" Target="https://maps.google.com/?q=16.2080658,-97.5283769" TargetMode="External"/><Relationship Id="rId649" Type="http://schemas.openxmlformats.org/officeDocument/2006/relationships/hyperlink" Target="https://maps.google.com/?q=17.049956025377,-96.707241743207" TargetMode="External"/><Relationship Id="rId856" Type="http://schemas.openxmlformats.org/officeDocument/2006/relationships/hyperlink" Target="https://maps.google.com/?q=17.086682655198,-96.696101856883" TargetMode="External"/><Relationship Id="rId1279" Type="http://schemas.openxmlformats.org/officeDocument/2006/relationships/hyperlink" Target="https://maps.google.com/?q=16.493534362996,-96.735126063824" TargetMode="External"/><Relationship Id="rId1486" Type="http://schemas.openxmlformats.org/officeDocument/2006/relationships/hyperlink" Target="https://maps.google.com/?q=17.119273,-96.451939" TargetMode="External"/><Relationship Id="rId2537" Type="http://schemas.openxmlformats.org/officeDocument/2006/relationships/hyperlink" Target="https://maps.google.com/?q=16.272487,-96.308697" TargetMode="External"/><Relationship Id="rId3935" Type="http://schemas.openxmlformats.org/officeDocument/2006/relationships/hyperlink" Target="https://maps.google.com/?q=16.8714906,-94.72630913" TargetMode="External"/><Relationship Id="rId509" Type="http://schemas.openxmlformats.org/officeDocument/2006/relationships/hyperlink" Target="https://maps.google.com/?q=17.532099359753,-97.794522930059" TargetMode="External"/><Relationship Id="rId1139" Type="http://schemas.openxmlformats.org/officeDocument/2006/relationships/hyperlink" Target="https://maps.google.com/?q=17.949921029267,-96.164376944775" TargetMode="External"/><Relationship Id="rId1346" Type="http://schemas.openxmlformats.org/officeDocument/2006/relationships/hyperlink" Target="https://maps.google.com/?q=17.765818,-97.526426" TargetMode="External"/><Relationship Id="rId1693" Type="http://schemas.openxmlformats.org/officeDocument/2006/relationships/hyperlink" Target="https://maps.google.com/?q=16.524485,-96.97793" TargetMode="External"/><Relationship Id="rId2744" Type="http://schemas.openxmlformats.org/officeDocument/2006/relationships/hyperlink" Target="https://maps.google.com/?q=16.219408,-97.958186" TargetMode="External"/><Relationship Id="rId2951" Type="http://schemas.openxmlformats.org/officeDocument/2006/relationships/hyperlink" Target="https://maps.google.com/?q=17.716584588063,-96.939474859985" TargetMode="External"/><Relationship Id="rId716" Type="http://schemas.openxmlformats.org/officeDocument/2006/relationships/hyperlink" Target="https://maps.google.com/?q=17.057433206236,-96.726509392706" TargetMode="External"/><Relationship Id="rId923" Type="http://schemas.openxmlformats.org/officeDocument/2006/relationships/hyperlink" Target="https://maps.google.com/?q=17.531506,-96.81159" TargetMode="External"/><Relationship Id="rId1553" Type="http://schemas.openxmlformats.org/officeDocument/2006/relationships/hyperlink" Target="https://maps.google.com/?q=17.061080931756,-96.725508424502" TargetMode="External"/><Relationship Id="rId1760" Type="http://schemas.openxmlformats.org/officeDocument/2006/relationships/hyperlink" Target="https://maps.google.com/?q=17.02439437,-96.71310329" TargetMode="External"/><Relationship Id="rId2604" Type="http://schemas.openxmlformats.org/officeDocument/2006/relationships/hyperlink" Target="https://maps.google.com/?q=17.09186392083,-96.738291363396" TargetMode="External"/><Relationship Id="rId2811" Type="http://schemas.openxmlformats.org/officeDocument/2006/relationships/hyperlink" Target="https://maps.google.com/?q=17.802508,-96.817129" TargetMode="External"/><Relationship Id="rId52" Type="http://schemas.openxmlformats.org/officeDocument/2006/relationships/hyperlink" Target="https://maps.google.com/?q=16.5577071,-95.0976305" TargetMode="External"/><Relationship Id="rId1206" Type="http://schemas.openxmlformats.org/officeDocument/2006/relationships/hyperlink" Target="https://maps.google.com/?q=17.03778697572,-97.941774288361" TargetMode="External"/><Relationship Id="rId1413" Type="http://schemas.openxmlformats.org/officeDocument/2006/relationships/hyperlink" Target="https://maps.google.com/?q=16.279058,-97.820241" TargetMode="External"/><Relationship Id="rId1620" Type="http://schemas.openxmlformats.org/officeDocument/2006/relationships/hyperlink" Target="https://maps.google.com/?q=17.770877777469,-96.332448761278" TargetMode="External"/><Relationship Id="rId3378" Type="http://schemas.openxmlformats.org/officeDocument/2006/relationships/hyperlink" Target="https://maps.google.com/?q=16.786039927734,-96.560736569696" TargetMode="External"/><Relationship Id="rId3585" Type="http://schemas.openxmlformats.org/officeDocument/2006/relationships/hyperlink" Target="https://maps.google.com/?q=16.2049571,-97.528005" TargetMode="External"/><Relationship Id="rId3792" Type="http://schemas.openxmlformats.org/officeDocument/2006/relationships/hyperlink" Target="https://maps.google.com/?q=16.2094031,-97.5261121" TargetMode="External"/><Relationship Id="rId299" Type="http://schemas.openxmlformats.org/officeDocument/2006/relationships/hyperlink" Target="https://maps.google.com/?q=16.525923,-94.699684" TargetMode="External"/><Relationship Id="rId2187" Type="http://schemas.openxmlformats.org/officeDocument/2006/relationships/hyperlink" Target="https://maps.google.com/?q=17.05186467,-96.63767081" TargetMode="External"/><Relationship Id="rId2394" Type="http://schemas.openxmlformats.org/officeDocument/2006/relationships/hyperlink" Target="https://maps.google.com/?q=16.248878,-96.340015" TargetMode="External"/><Relationship Id="rId3238" Type="http://schemas.openxmlformats.org/officeDocument/2006/relationships/hyperlink" Target="https://maps.google.com/?q=16.785234921775,-96.565886566299" TargetMode="External"/><Relationship Id="rId3445" Type="http://schemas.openxmlformats.org/officeDocument/2006/relationships/hyperlink" Target="https://maps.google.com/?q=16.788179921969,-96.555531575177" TargetMode="External"/><Relationship Id="rId3652" Type="http://schemas.openxmlformats.org/officeDocument/2006/relationships/hyperlink" Target="https://maps.google.com/?q=16.2061881,-97.528761" TargetMode="External"/><Relationship Id="rId159" Type="http://schemas.openxmlformats.org/officeDocument/2006/relationships/hyperlink" Target="https://maps.google.com/?q=17.271101,-97.674354" TargetMode="External"/><Relationship Id="rId366" Type="http://schemas.openxmlformats.org/officeDocument/2006/relationships/hyperlink" Target="https://maps.google.com/?q=17.041157,-96.727831" TargetMode="External"/><Relationship Id="rId573" Type="http://schemas.openxmlformats.org/officeDocument/2006/relationships/hyperlink" Target="https://maps.google.com/?q=17.043091038915,-96.712024779834" TargetMode="External"/><Relationship Id="rId780" Type="http://schemas.openxmlformats.org/officeDocument/2006/relationships/hyperlink" Target="https://maps.google.com/?q=17.081577138195,-96.71896305245" TargetMode="External"/><Relationship Id="rId2047" Type="http://schemas.openxmlformats.org/officeDocument/2006/relationships/hyperlink" Target="https://maps.google.com/?q=16.784015,-96.031569" TargetMode="External"/><Relationship Id="rId2254" Type="http://schemas.openxmlformats.org/officeDocument/2006/relationships/hyperlink" Target="https://maps.google.com/?q=17.35057832,-96.53618275" TargetMode="External"/><Relationship Id="rId2461" Type="http://schemas.openxmlformats.org/officeDocument/2006/relationships/hyperlink" Target="https://maps.google.com/?q=16.254625,-96.325917" TargetMode="External"/><Relationship Id="rId3305" Type="http://schemas.openxmlformats.org/officeDocument/2006/relationships/hyperlink" Target="https://maps.google.com/?q=16.785703921556,-96.576872563253" TargetMode="External"/><Relationship Id="rId3512" Type="http://schemas.openxmlformats.org/officeDocument/2006/relationships/hyperlink" Target="https://maps.google.com/?q=16.790533928525,-96.551926573512" TargetMode="External"/><Relationship Id="rId226" Type="http://schemas.openxmlformats.org/officeDocument/2006/relationships/hyperlink" Target="https://maps.google.com/?q=15.910025205887,-96.214131777423" TargetMode="External"/><Relationship Id="rId433" Type="http://schemas.openxmlformats.org/officeDocument/2006/relationships/hyperlink" Target="https://maps.google.com/?q=17.506724,-97.713945" TargetMode="External"/><Relationship Id="rId1063" Type="http://schemas.openxmlformats.org/officeDocument/2006/relationships/hyperlink" Target="https://maps.google.com/?q=17.075656,-96.741092" TargetMode="External"/><Relationship Id="rId1270" Type="http://schemas.openxmlformats.org/officeDocument/2006/relationships/hyperlink" Target="https://maps.google.com/?q=16.917641137413,-96.078788417162" TargetMode="External"/><Relationship Id="rId2114" Type="http://schemas.openxmlformats.org/officeDocument/2006/relationships/hyperlink" Target="https://maps.google.com/?q=16.873945725462,-97.501966191358" TargetMode="External"/><Relationship Id="rId640" Type="http://schemas.openxmlformats.org/officeDocument/2006/relationships/hyperlink" Target="https://maps.google.com/?q=17.049246078874,-96.713842240858" TargetMode="External"/><Relationship Id="rId2321" Type="http://schemas.openxmlformats.org/officeDocument/2006/relationships/hyperlink" Target="https://maps.google.com/?q=17.37099362,-96.50797363" TargetMode="External"/><Relationship Id="rId500" Type="http://schemas.openxmlformats.org/officeDocument/2006/relationships/hyperlink" Target="https://maps.google.com/?q=17.529478992929,-97.792629192625" TargetMode="External"/><Relationship Id="rId1130" Type="http://schemas.openxmlformats.org/officeDocument/2006/relationships/hyperlink" Target="https://maps.google.com/?q=17.062750514323,-96.723341230815" TargetMode="External"/><Relationship Id="rId1947" Type="http://schemas.openxmlformats.org/officeDocument/2006/relationships/hyperlink" Target="https://maps.google.com/?q=16.780515,-96.034506" TargetMode="External"/><Relationship Id="rId3095" Type="http://schemas.openxmlformats.org/officeDocument/2006/relationships/hyperlink" Target="https://maps.google.com/?q=17.970616,-96.688255" TargetMode="External"/><Relationship Id="rId1807" Type="http://schemas.openxmlformats.org/officeDocument/2006/relationships/hyperlink" Target="https://maps.google.com/?q=17.988385,-96.840343" TargetMode="External"/><Relationship Id="rId3162" Type="http://schemas.openxmlformats.org/officeDocument/2006/relationships/hyperlink" Target="https://maps.google.com/?q=16.783470925337,-96.566962564192" TargetMode="External"/><Relationship Id="rId4006" Type="http://schemas.openxmlformats.org/officeDocument/2006/relationships/hyperlink" Target="https://maps.google.com/?q=16.902389,-94.691194" TargetMode="External"/><Relationship Id="rId290" Type="http://schemas.openxmlformats.org/officeDocument/2006/relationships/hyperlink" Target="https://maps.google.com/?q=17.470039,-97.57189" TargetMode="External"/><Relationship Id="rId3022" Type="http://schemas.openxmlformats.org/officeDocument/2006/relationships/hyperlink" Target="https://maps.google.com/?q=16.299775,-96.770208" TargetMode="External"/><Relationship Id="rId150" Type="http://schemas.openxmlformats.org/officeDocument/2006/relationships/hyperlink" Target="https://maps.google.com/?q=17.26999,-97.674419" TargetMode="External"/><Relationship Id="rId3979" Type="http://schemas.openxmlformats.org/officeDocument/2006/relationships/hyperlink" Target="https://maps.google.com/?q=16.89574925,-94.69756451" TargetMode="External"/><Relationship Id="rId2788" Type="http://schemas.openxmlformats.org/officeDocument/2006/relationships/hyperlink" Target="https://maps.google.com/?q=17.78895,-96.814919" TargetMode="External"/><Relationship Id="rId2995" Type="http://schemas.openxmlformats.org/officeDocument/2006/relationships/hyperlink" Target="https://maps.google.com/?q=15.958792639494,-96.768908233614" TargetMode="External"/><Relationship Id="rId3839" Type="http://schemas.openxmlformats.org/officeDocument/2006/relationships/hyperlink" Target="https://maps.google.com/?q=16.986428223419,-96.761959390779" TargetMode="External"/><Relationship Id="rId967" Type="http://schemas.openxmlformats.org/officeDocument/2006/relationships/hyperlink" Target="https://maps.google.com/?q=17.541377015187,-98.145414486534" TargetMode="External"/><Relationship Id="rId1597" Type="http://schemas.openxmlformats.org/officeDocument/2006/relationships/hyperlink" Target="https://maps.google.com/?q=17.09681,-96.733525" TargetMode="External"/><Relationship Id="rId2648" Type="http://schemas.openxmlformats.org/officeDocument/2006/relationships/hyperlink" Target="https://maps.google.com/?q=17.38529097907,-97.268851138268" TargetMode="External"/><Relationship Id="rId2855" Type="http://schemas.openxmlformats.org/officeDocument/2006/relationships/hyperlink" Target="https://maps.google.com/?q=17.288610724691,-97.378160099147" TargetMode="External"/><Relationship Id="rId3906" Type="http://schemas.openxmlformats.org/officeDocument/2006/relationships/hyperlink" Target="https://maps.google.com/?q=16.86374278,-94.73318317" TargetMode="External"/><Relationship Id="rId96" Type="http://schemas.openxmlformats.org/officeDocument/2006/relationships/hyperlink" Target="https://maps.google.com/?q=17.017935840344,-97.917891948461" TargetMode="External"/><Relationship Id="rId827" Type="http://schemas.openxmlformats.org/officeDocument/2006/relationships/hyperlink" Target="https://maps.google.com/?q=17.084447166501,-96.695948329495" TargetMode="External"/><Relationship Id="rId1457" Type="http://schemas.openxmlformats.org/officeDocument/2006/relationships/hyperlink" Target="https://maps.google.com/?q=16.433347,-95.021687" TargetMode="External"/><Relationship Id="rId1664" Type="http://schemas.openxmlformats.org/officeDocument/2006/relationships/hyperlink" Target="https://maps.google.com/?q=16.521074,-96.975492" TargetMode="External"/><Relationship Id="rId1871" Type="http://schemas.openxmlformats.org/officeDocument/2006/relationships/hyperlink" Target="https://maps.google.com/?q=16.071153904475,-96.303323129144" TargetMode="External"/><Relationship Id="rId2508" Type="http://schemas.openxmlformats.org/officeDocument/2006/relationships/hyperlink" Target="https://maps.google.com/?q=16.266465,-96.308764" TargetMode="External"/><Relationship Id="rId2715" Type="http://schemas.openxmlformats.org/officeDocument/2006/relationships/hyperlink" Target="https://maps.google.com/?q=17.083713262386,-96.715057127816" TargetMode="External"/><Relationship Id="rId2922" Type="http://schemas.openxmlformats.org/officeDocument/2006/relationships/hyperlink" Target="https://maps.google.com/?q=15.723313296602,-96.152270871015" TargetMode="External"/><Relationship Id="rId1317" Type="http://schemas.openxmlformats.org/officeDocument/2006/relationships/hyperlink" Target="https://maps.google.com/?q=16.233702393271,-94.627787946102" TargetMode="External"/><Relationship Id="rId1524" Type="http://schemas.openxmlformats.org/officeDocument/2006/relationships/hyperlink" Target="https://maps.google.com/?q=17.331248,-96.487901" TargetMode="External"/><Relationship Id="rId1731" Type="http://schemas.openxmlformats.org/officeDocument/2006/relationships/hyperlink" Target="https://maps.google.com/?q=16.797119,-96.46111" TargetMode="External"/><Relationship Id="rId23" Type="http://schemas.openxmlformats.org/officeDocument/2006/relationships/hyperlink" Target="https://maps.google.com/?q=16.950706,-96.750504" TargetMode="External"/><Relationship Id="rId3489" Type="http://schemas.openxmlformats.org/officeDocument/2006/relationships/hyperlink" Target="https://maps.google.com/?q=16.78968592483,-96.553634578107" TargetMode="External"/><Relationship Id="rId3696" Type="http://schemas.openxmlformats.org/officeDocument/2006/relationships/hyperlink" Target="https://maps.google.com/?q=16.2072861,-97.530665" TargetMode="External"/><Relationship Id="rId2298" Type="http://schemas.openxmlformats.org/officeDocument/2006/relationships/hyperlink" Target="https://maps.google.com/?q=17.35546987,-96.53439619" TargetMode="External"/><Relationship Id="rId3349" Type="http://schemas.openxmlformats.org/officeDocument/2006/relationships/hyperlink" Target="https://maps.google.com/?q=16.785924925483,-96.558029572058" TargetMode="External"/><Relationship Id="rId3556" Type="http://schemas.openxmlformats.org/officeDocument/2006/relationships/hyperlink" Target="https://maps.google.com/?q=16.792123926373,-96.551783579834" TargetMode="External"/><Relationship Id="rId477" Type="http://schemas.openxmlformats.org/officeDocument/2006/relationships/hyperlink" Target="https://maps.google.com/?q=17.531604285322,-97.722496742328" TargetMode="External"/><Relationship Id="rId684" Type="http://schemas.openxmlformats.org/officeDocument/2006/relationships/hyperlink" Target="https://maps.google.com/?q=17.051550183189,-96.716446747435" TargetMode="External"/><Relationship Id="rId2158" Type="http://schemas.openxmlformats.org/officeDocument/2006/relationships/hyperlink" Target="https://maps.google.com/?q=17.04952064,-96.63686523" TargetMode="External"/><Relationship Id="rId2365" Type="http://schemas.openxmlformats.org/officeDocument/2006/relationships/hyperlink" Target="https://maps.google.com/?q=17.38056838,-96.50224715" TargetMode="External"/><Relationship Id="rId3209" Type="http://schemas.openxmlformats.org/officeDocument/2006/relationships/hyperlink" Target="https://maps.google.com/?q=16.784897920478,-96.57570656575" TargetMode="External"/><Relationship Id="rId3763" Type="http://schemas.openxmlformats.org/officeDocument/2006/relationships/hyperlink" Target="https://maps.google.com/?q=16.2086861,-97.529517" TargetMode="External"/><Relationship Id="rId3970" Type="http://schemas.openxmlformats.org/officeDocument/2006/relationships/hyperlink" Target="https://maps.google.com/?q=16.891933,-94.70227023" TargetMode="External"/><Relationship Id="rId337" Type="http://schemas.openxmlformats.org/officeDocument/2006/relationships/hyperlink" Target="https://maps.google.com/?q=16.978639170976,-97.638586384718" TargetMode="External"/><Relationship Id="rId891" Type="http://schemas.openxmlformats.org/officeDocument/2006/relationships/hyperlink" Target="https://maps.google.com/?q=17.124242103055,-96.771076198928" TargetMode="External"/><Relationship Id="rId2018" Type="http://schemas.openxmlformats.org/officeDocument/2006/relationships/hyperlink" Target="https://maps.google.com/?q=16.78315,-96.032096" TargetMode="External"/><Relationship Id="rId2572" Type="http://schemas.openxmlformats.org/officeDocument/2006/relationships/hyperlink" Target="https://maps.google.com/?q=17.089261675,-96.7372716048" TargetMode="External"/><Relationship Id="rId3416" Type="http://schemas.openxmlformats.org/officeDocument/2006/relationships/hyperlink" Target="https://maps.google.com/?q=16.78652292878,-96.556860569956" TargetMode="External"/><Relationship Id="rId3623" Type="http://schemas.openxmlformats.org/officeDocument/2006/relationships/hyperlink" Target="https://maps.google.com/?q=16.205472,-97.523435" TargetMode="External"/><Relationship Id="rId3830" Type="http://schemas.openxmlformats.org/officeDocument/2006/relationships/hyperlink" Target="https://maps.google.com/?q=17.237892474517,-97.105253528415" TargetMode="External"/><Relationship Id="rId544" Type="http://schemas.openxmlformats.org/officeDocument/2006/relationships/hyperlink" Target="https://maps.google.com/?q=17.071544120503,-96.715912270785" TargetMode="External"/><Relationship Id="rId751" Type="http://schemas.openxmlformats.org/officeDocument/2006/relationships/hyperlink" Target="https://maps.google.com/?q=17.06346885266,-96.732462102719" TargetMode="External"/><Relationship Id="rId1174" Type="http://schemas.openxmlformats.org/officeDocument/2006/relationships/hyperlink" Target="https://maps.google.com/?q=18.091427151493,-96.138600271164" TargetMode="External"/><Relationship Id="rId1381" Type="http://schemas.openxmlformats.org/officeDocument/2006/relationships/hyperlink" Target="https://maps.google.com/?q=16.803559646351,-97.784128107969" TargetMode="External"/><Relationship Id="rId2225" Type="http://schemas.openxmlformats.org/officeDocument/2006/relationships/hyperlink" Target="https://maps.google.com/?q=16.645283034222,-96.57418712079" TargetMode="External"/><Relationship Id="rId2432" Type="http://schemas.openxmlformats.org/officeDocument/2006/relationships/hyperlink" Target="https://maps.google.com/?q=16.252179,-96.32942" TargetMode="External"/><Relationship Id="rId404" Type="http://schemas.openxmlformats.org/officeDocument/2006/relationships/hyperlink" Target="https://maps.google.com/?q=17.538746808518,-97.739049423467" TargetMode="External"/><Relationship Id="rId611" Type="http://schemas.openxmlformats.org/officeDocument/2006/relationships/hyperlink" Target="https://maps.google.com/?q=17.046998519832,-96.728787867726" TargetMode="External"/><Relationship Id="rId1034" Type="http://schemas.openxmlformats.org/officeDocument/2006/relationships/hyperlink" Target="https://maps.google.com/?q=16.433347,-95.021687" TargetMode="External"/><Relationship Id="rId1241" Type="http://schemas.openxmlformats.org/officeDocument/2006/relationships/hyperlink" Target="https://maps.google.com/?q=17.13940939824,-95.065295434359" TargetMode="External"/><Relationship Id="rId1101" Type="http://schemas.openxmlformats.org/officeDocument/2006/relationships/hyperlink" Target="https://maps.google.com/?q=17.071544120503,-96.715912270785" TargetMode="External"/><Relationship Id="rId3066" Type="http://schemas.openxmlformats.org/officeDocument/2006/relationships/hyperlink" Target="https://maps.google.com/?q=17.057558,-95.833808" TargetMode="External"/><Relationship Id="rId3273" Type="http://schemas.openxmlformats.org/officeDocument/2006/relationships/hyperlink" Target="https://maps.google.com/?q=16.785493923563,-96.562478567653" TargetMode="External"/><Relationship Id="rId3480" Type="http://schemas.openxmlformats.org/officeDocument/2006/relationships/hyperlink" Target="https://maps.google.com/?q=16.789344930825,-96.554652572359" TargetMode="External"/><Relationship Id="rId194" Type="http://schemas.openxmlformats.org/officeDocument/2006/relationships/hyperlink" Target="https://maps.google.com/?q=17.278109,-97.67089" TargetMode="External"/><Relationship Id="rId1918" Type="http://schemas.openxmlformats.org/officeDocument/2006/relationships/hyperlink" Target="https://maps.google.com/?q=16.779249,-96.038138" TargetMode="External"/><Relationship Id="rId2082" Type="http://schemas.openxmlformats.org/officeDocument/2006/relationships/hyperlink" Target="https://maps.google.com/?q=16.786329,-96.029903" TargetMode="External"/><Relationship Id="rId3133" Type="http://schemas.openxmlformats.org/officeDocument/2006/relationships/hyperlink" Target="https://maps.google.com/?q=17.977492,-96.704448" TargetMode="External"/><Relationship Id="rId261" Type="http://schemas.openxmlformats.org/officeDocument/2006/relationships/hyperlink" Target="https://maps.google.com/?q=16.950706,-96.750504" TargetMode="External"/><Relationship Id="rId3340" Type="http://schemas.openxmlformats.org/officeDocument/2006/relationships/hyperlink" Target="https://maps.google.com/?q=16.785902922274,-96.570487561625" TargetMode="External"/><Relationship Id="rId2899" Type="http://schemas.openxmlformats.org/officeDocument/2006/relationships/hyperlink" Target="https://maps.google.com/?q=17.119433,-96.423628" TargetMode="External"/><Relationship Id="rId3200" Type="http://schemas.openxmlformats.org/officeDocument/2006/relationships/hyperlink" Target="https://maps.google.com/?q=16.784772920045,-96.575409560821" TargetMode="External"/><Relationship Id="rId121" Type="http://schemas.openxmlformats.org/officeDocument/2006/relationships/hyperlink" Target="https://maps.google.com/?q=16.588496,-94.768595" TargetMode="External"/><Relationship Id="rId2759" Type="http://schemas.openxmlformats.org/officeDocument/2006/relationships/hyperlink" Target="https://maps.google.com/?q=17.785706,-96.803511" TargetMode="External"/><Relationship Id="rId2966" Type="http://schemas.openxmlformats.org/officeDocument/2006/relationships/hyperlink" Target="https://maps.google.com/?q=17.792269879424,-96.952008420014" TargetMode="External"/><Relationship Id="rId938" Type="http://schemas.openxmlformats.org/officeDocument/2006/relationships/hyperlink" Target="https://maps.google.com/?q=17.570402738651,-97.894096947033" TargetMode="External"/><Relationship Id="rId1568" Type="http://schemas.openxmlformats.org/officeDocument/2006/relationships/hyperlink" Target="https://maps.google.com/?q=17.058006529,-96.70552072" TargetMode="External"/><Relationship Id="rId1775" Type="http://schemas.openxmlformats.org/officeDocument/2006/relationships/hyperlink" Target="https://maps.google.com/?q=17.0283954,-96.71116817" TargetMode="External"/><Relationship Id="rId2619" Type="http://schemas.openxmlformats.org/officeDocument/2006/relationships/hyperlink" Target="https://maps.google.com/?q=15.790572436052,-96.581744030828" TargetMode="External"/><Relationship Id="rId2826" Type="http://schemas.openxmlformats.org/officeDocument/2006/relationships/hyperlink" Target="https://maps.google.com/?q=17.281344949072,-97.367551962491" TargetMode="External"/><Relationship Id="rId67" Type="http://schemas.openxmlformats.org/officeDocument/2006/relationships/hyperlink" Target="https://maps.google.com/?q=16.9099807,-96.720373" TargetMode="External"/><Relationship Id="rId1428" Type="http://schemas.openxmlformats.org/officeDocument/2006/relationships/hyperlink" Target="https://maps.google.com/?q=17.267449,-97.680485" TargetMode="External"/><Relationship Id="rId1635" Type="http://schemas.openxmlformats.org/officeDocument/2006/relationships/hyperlink" Target="https://maps.google.com/?q=16.7474,-96.753745" TargetMode="External"/><Relationship Id="rId1982" Type="http://schemas.openxmlformats.org/officeDocument/2006/relationships/hyperlink" Target="https://maps.google.com/?q=16.781606,-96.033186" TargetMode="External"/><Relationship Id="rId1842" Type="http://schemas.openxmlformats.org/officeDocument/2006/relationships/hyperlink" Target="https://maps.google.com/?q=16.145659745913,-96.351323003288" TargetMode="External"/><Relationship Id="rId1702" Type="http://schemas.openxmlformats.org/officeDocument/2006/relationships/hyperlink" Target="https://maps.google.com/?q=16.524877,-96.976621" TargetMode="External"/><Relationship Id="rId3667" Type="http://schemas.openxmlformats.org/officeDocument/2006/relationships/hyperlink" Target="https://maps.google.com/?q=16.2068341,-97.528916" TargetMode="External"/><Relationship Id="rId3874" Type="http://schemas.openxmlformats.org/officeDocument/2006/relationships/hyperlink" Target="https://maps.google.com/?q=17.038742604512,-96.728653161964" TargetMode="External"/><Relationship Id="rId588" Type="http://schemas.openxmlformats.org/officeDocument/2006/relationships/hyperlink" Target="https://maps.google.com/?q=17.04508469598,-96.721701510251" TargetMode="External"/><Relationship Id="rId795" Type="http://schemas.openxmlformats.org/officeDocument/2006/relationships/hyperlink" Target="https://maps.google.com/?q=17.082519587097,-96.699912376087" TargetMode="External"/><Relationship Id="rId2269" Type="http://schemas.openxmlformats.org/officeDocument/2006/relationships/hyperlink" Target="https://maps.google.com/?q=17.35232337,-96.53852955" TargetMode="External"/><Relationship Id="rId2476" Type="http://schemas.openxmlformats.org/officeDocument/2006/relationships/hyperlink" Target="https://maps.google.com/?q=16.256728,-96.321164" TargetMode="External"/><Relationship Id="rId2683" Type="http://schemas.openxmlformats.org/officeDocument/2006/relationships/hyperlink" Target="https://maps.google.com/?q=17.064233358872,-96.731239894669" TargetMode="External"/><Relationship Id="rId2890" Type="http://schemas.openxmlformats.org/officeDocument/2006/relationships/hyperlink" Target="https://maps.google.com/?q=17.058092455337,-96.825045683185" TargetMode="External"/><Relationship Id="rId3527" Type="http://schemas.openxmlformats.org/officeDocument/2006/relationships/hyperlink" Target="https://maps.google.com/?q=16.790831926112,-96.553706578025" TargetMode="External"/><Relationship Id="rId3734" Type="http://schemas.openxmlformats.org/officeDocument/2006/relationships/hyperlink" Target="https://maps.google.com/?q=16.2081931,-97.52764" TargetMode="External"/><Relationship Id="rId3941" Type="http://schemas.openxmlformats.org/officeDocument/2006/relationships/hyperlink" Target="https://maps.google.com/?q=16.87338856,-94.72412094" TargetMode="External"/><Relationship Id="rId448" Type="http://schemas.openxmlformats.org/officeDocument/2006/relationships/hyperlink" Target="https://maps.google.com/?q=17.490534157276,-97.728231416924" TargetMode="External"/><Relationship Id="rId655" Type="http://schemas.openxmlformats.org/officeDocument/2006/relationships/hyperlink" Target="https://maps.google.com/?q=17.050230031671,-96.727054437801" TargetMode="External"/><Relationship Id="rId862" Type="http://schemas.openxmlformats.org/officeDocument/2006/relationships/hyperlink" Target="https://maps.google.com/?q=17.113025640674,-96.765649484555" TargetMode="External"/><Relationship Id="rId1078" Type="http://schemas.openxmlformats.org/officeDocument/2006/relationships/hyperlink" Target="https://maps.google.com/?q=17.103686,-96.752899" TargetMode="External"/><Relationship Id="rId1285" Type="http://schemas.openxmlformats.org/officeDocument/2006/relationships/hyperlink" Target="https://maps.google.com/?q=16.925434113726,-96.357292128801" TargetMode="External"/><Relationship Id="rId1492" Type="http://schemas.openxmlformats.org/officeDocument/2006/relationships/hyperlink" Target="https://maps.google.com/?q=16.959259282249,-96.707456235211" TargetMode="External"/><Relationship Id="rId2129" Type="http://schemas.openxmlformats.org/officeDocument/2006/relationships/hyperlink" Target="https://maps.google.com/?q=16.876244797694,-97.506181087347" TargetMode="External"/><Relationship Id="rId2336" Type="http://schemas.openxmlformats.org/officeDocument/2006/relationships/hyperlink" Target="https://maps.google.com/?q=17.37729394,-96.50764379" TargetMode="External"/><Relationship Id="rId2543" Type="http://schemas.openxmlformats.org/officeDocument/2006/relationships/hyperlink" Target="https://maps.google.com/?q=16.272647,-96.307011" TargetMode="External"/><Relationship Id="rId2750" Type="http://schemas.openxmlformats.org/officeDocument/2006/relationships/hyperlink" Target="https://maps.google.com/?q=17.784961,-96.802304" TargetMode="External"/><Relationship Id="rId3801" Type="http://schemas.openxmlformats.org/officeDocument/2006/relationships/hyperlink" Target="https://maps.google.com/?q=16.2098041,-97.5278781" TargetMode="External"/><Relationship Id="rId308" Type="http://schemas.openxmlformats.org/officeDocument/2006/relationships/hyperlink" Target="https://maps.google.com/?q=16.9403345,-96.7096551" TargetMode="External"/><Relationship Id="rId515" Type="http://schemas.openxmlformats.org/officeDocument/2006/relationships/hyperlink" Target="https://maps.google.com/?q=18.083854479185,-97.675160305386" TargetMode="External"/><Relationship Id="rId722" Type="http://schemas.openxmlformats.org/officeDocument/2006/relationships/hyperlink" Target="https://maps.google.com/?q=17.057960983986,-96.741467922166" TargetMode="External"/><Relationship Id="rId1145" Type="http://schemas.openxmlformats.org/officeDocument/2006/relationships/hyperlink" Target="https://maps.google.com/?q=16.326031749761,-95.241940966934" TargetMode="External"/><Relationship Id="rId1352" Type="http://schemas.openxmlformats.org/officeDocument/2006/relationships/hyperlink" Target="https://maps.google.com/?q=17.41758636678,-97.772240427261" TargetMode="External"/><Relationship Id="rId2403" Type="http://schemas.openxmlformats.org/officeDocument/2006/relationships/hyperlink" Target="https://maps.google.com/?q=16.249407,-96.339585" TargetMode="External"/><Relationship Id="rId1005" Type="http://schemas.openxmlformats.org/officeDocument/2006/relationships/hyperlink" Target="https://maps.google.com/?q=17.465907,-97.349554" TargetMode="External"/><Relationship Id="rId1212" Type="http://schemas.openxmlformats.org/officeDocument/2006/relationships/hyperlink" Target="https://maps.google.com/?q=17.062206826206,-96.674486182873" TargetMode="External"/><Relationship Id="rId2610" Type="http://schemas.openxmlformats.org/officeDocument/2006/relationships/hyperlink" Target="https://maps.google.com/?q=17.092710298,-96.738687" TargetMode="External"/><Relationship Id="rId3177" Type="http://schemas.openxmlformats.org/officeDocument/2006/relationships/hyperlink" Target="https://maps.google.com/?q=16.784046926916,-96.566515563649" TargetMode="External"/><Relationship Id="rId3037" Type="http://schemas.openxmlformats.org/officeDocument/2006/relationships/hyperlink" Target="https://maps.google.com/?q=15.871634,-97.077739" TargetMode="External"/><Relationship Id="rId3384" Type="http://schemas.openxmlformats.org/officeDocument/2006/relationships/hyperlink" Target="https://maps.google.com/?q=16.786067920626,-96.570899561537" TargetMode="External"/><Relationship Id="rId3591" Type="http://schemas.openxmlformats.org/officeDocument/2006/relationships/hyperlink" Target="https://maps.google.com/?q=16.205097,-97.528981" TargetMode="External"/><Relationship Id="rId2193" Type="http://schemas.openxmlformats.org/officeDocument/2006/relationships/hyperlink" Target="https://maps.google.com/?q=16.635559918717,-96.547664688012" TargetMode="External"/><Relationship Id="rId3244" Type="http://schemas.openxmlformats.org/officeDocument/2006/relationships/hyperlink" Target="https://maps.google.com/?q=16.785284925358,-96.566118571376" TargetMode="External"/><Relationship Id="rId3451" Type="http://schemas.openxmlformats.org/officeDocument/2006/relationships/hyperlink" Target="https://maps.google.com/?q=16.788617926824,-96.552729572249" TargetMode="External"/><Relationship Id="rId165" Type="http://schemas.openxmlformats.org/officeDocument/2006/relationships/hyperlink" Target="https://maps.google.com/?q=17.27147,-97.672818" TargetMode="External"/><Relationship Id="rId372" Type="http://schemas.openxmlformats.org/officeDocument/2006/relationships/hyperlink" Target="https://maps.google.com/?q=17.04132,-96.727886" TargetMode="External"/><Relationship Id="rId2053" Type="http://schemas.openxmlformats.org/officeDocument/2006/relationships/hyperlink" Target="https://maps.google.com/?q=16.784288,-96.030922" TargetMode="External"/><Relationship Id="rId2260" Type="http://schemas.openxmlformats.org/officeDocument/2006/relationships/hyperlink" Target="https://maps.google.com/?q=17.35142872,-96.54069529" TargetMode="External"/><Relationship Id="rId3104" Type="http://schemas.openxmlformats.org/officeDocument/2006/relationships/hyperlink" Target="https://maps.google.com/?q=17.974613,-96.706137" TargetMode="External"/><Relationship Id="rId3311" Type="http://schemas.openxmlformats.org/officeDocument/2006/relationships/hyperlink" Target="https://maps.google.com/?q=16.785764918634,-96.571277567178" TargetMode="External"/><Relationship Id="rId232" Type="http://schemas.openxmlformats.org/officeDocument/2006/relationships/hyperlink" Target="https://maps.google.com/?q=15.911272101773,-96.210680058011" TargetMode="External"/><Relationship Id="rId2120" Type="http://schemas.openxmlformats.org/officeDocument/2006/relationships/hyperlink" Target="https://maps.google.com/?q=16.875011162589,-97.503074700753" TargetMode="External"/><Relationship Id="rId1679" Type="http://schemas.openxmlformats.org/officeDocument/2006/relationships/hyperlink" Target="https://maps.google.com/?q=16.52258,-96.978475" TargetMode="External"/><Relationship Id="rId1886" Type="http://schemas.openxmlformats.org/officeDocument/2006/relationships/hyperlink" Target="https://maps.google.com/?q=16.777983,-96.032193" TargetMode="External"/><Relationship Id="rId2937" Type="http://schemas.openxmlformats.org/officeDocument/2006/relationships/hyperlink" Target="https://maps.google.com/?q=17.080263,-96.743502" TargetMode="External"/><Relationship Id="rId909" Type="http://schemas.openxmlformats.org/officeDocument/2006/relationships/hyperlink" Target="https://maps.google.com/?q=17.912292,-96.346848" TargetMode="External"/><Relationship Id="rId1539" Type="http://schemas.openxmlformats.org/officeDocument/2006/relationships/hyperlink" Target="https://maps.google.com/?q=17.422198,-97.315863" TargetMode="External"/><Relationship Id="rId1746" Type="http://schemas.openxmlformats.org/officeDocument/2006/relationships/hyperlink" Target="https://maps.google.com/?q=16.801235,-96.453591" TargetMode="External"/><Relationship Id="rId1953" Type="http://schemas.openxmlformats.org/officeDocument/2006/relationships/hyperlink" Target="https://maps.google.com/?q=16.780713,-96.033352" TargetMode="External"/><Relationship Id="rId38" Type="http://schemas.openxmlformats.org/officeDocument/2006/relationships/hyperlink" Target="https://maps.google.com/?q=17.801687,-96.959688" TargetMode="External"/><Relationship Id="rId1606" Type="http://schemas.openxmlformats.org/officeDocument/2006/relationships/hyperlink" Target="https://maps.google.com/?q=16.934694,-97.992672" TargetMode="External"/><Relationship Id="rId1813" Type="http://schemas.openxmlformats.org/officeDocument/2006/relationships/hyperlink" Target="https://maps.google.com/?q=17.0614483159,-96.7123646332" TargetMode="External"/><Relationship Id="rId3778" Type="http://schemas.openxmlformats.org/officeDocument/2006/relationships/hyperlink" Target="https://maps.google.com/?q=16.2089751,-97.530814" TargetMode="External"/><Relationship Id="rId3985" Type="http://schemas.openxmlformats.org/officeDocument/2006/relationships/hyperlink" Target="https://maps.google.com/?q=16.89819836,-94.69535251" TargetMode="External"/><Relationship Id="rId699" Type="http://schemas.openxmlformats.org/officeDocument/2006/relationships/hyperlink" Target="https://maps.google.com/?q=17.052771791457,-96.715803711165" TargetMode="External"/><Relationship Id="rId2587" Type="http://schemas.openxmlformats.org/officeDocument/2006/relationships/hyperlink" Target="https://maps.google.com/?q=17.0906499742,-96.736486839" TargetMode="External"/><Relationship Id="rId2794" Type="http://schemas.openxmlformats.org/officeDocument/2006/relationships/hyperlink" Target="https://maps.google.com/?q=17.790681,-96.816227" TargetMode="External"/><Relationship Id="rId3638" Type="http://schemas.openxmlformats.org/officeDocument/2006/relationships/hyperlink" Target="https://maps.google.com/?q=16.2057701,-97.526717" TargetMode="External"/><Relationship Id="rId3845" Type="http://schemas.openxmlformats.org/officeDocument/2006/relationships/hyperlink" Target="https://maps.google.com/?q=17.021285163816,-96.711237453224" TargetMode="External"/><Relationship Id="rId559" Type="http://schemas.openxmlformats.org/officeDocument/2006/relationships/hyperlink" Target="https://maps.google.com/?q=17.071544120503,-96.715912270785" TargetMode="External"/><Relationship Id="rId766" Type="http://schemas.openxmlformats.org/officeDocument/2006/relationships/hyperlink" Target="https://maps.google.com/?q=17.069421154089,-96.737280930065" TargetMode="External"/><Relationship Id="rId1189" Type="http://schemas.openxmlformats.org/officeDocument/2006/relationships/hyperlink" Target="https://maps.google.com/?q=16.56360726186,-96.70019005257" TargetMode="External"/><Relationship Id="rId1396" Type="http://schemas.openxmlformats.org/officeDocument/2006/relationships/hyperlink" Target="https://maps.google.com/?q=17.407741456558,-96.381855441803" TargetMode="External"/><Relationship Id="rId2447" Type="http://schemas.openxmlformats.org/officeDocument/2006/relationships/hyperlink" Target="https://maps.google.com/?q=16.253285,-96.334514" TargetMode="External"/><Relationship Id="rId419" Type="http://schemas.openxmlformats.org/officeDocument/2006/relationships/hyperlink" Target="https://maps.google.com/?q=17.498069935976,-97.72870789072" TargetMode="External"/><Relationship Id="rId626" Type="http://schemas.openxmlformats.org/officeDocument/2006/relationships/hyperlink" Target="https://maps.google.com/?q=17.048407428035,-96.716895825926" TargetMode="External"/><Relationship Id="rId973" Type="http://schemas.openxmlformats.org/officeDocument/2006/relationships/hyperlink" Target="https://maps.google.com/?q=17.353235728123,-95.419003622655" TargetMode="External"/><Relationship Id="rId1049" Type="http://schemas.openxmlformats.org/officeDocument/2006/relationships/hyperlink" Target="https://maps.google.com/?q=17.33873,-96.152554" TargetMode="External"/><Relationship Id="rId1256" Type="http://schemas.openxmlformats.org/officeDocument/2006/relationships/hyperlink" Target="https://maps.google.com/?q=17.807163618981,-97.471528474869" TargetMode="External"/><Relationship Id="rId2307" Type="http://schemas.openxmlformats.org/officeDocument/2006/relationships/hyperlink" Target="https://maps.google.com/?q=17.35824896,-96.5290449" TargetMode="External"/><Relationship Id="rId2654" Type="http://schemas.openxmlformats.org/officeDocument/2006/relationships/hyperlink" Target="https://maps.google.com/?q=16.654002,-97.338656" TargetMode="External"/><Relationship Id="rId2861" Type="http://schemas.openxmlformats.org/officeDocument/2006/relationships/hyperlink" Target="https://maps.google.com/?q=17.290403968984,-97.381398304102" TargetMode="External"/><Relationship Id="rId3705" Type="http://schemas.openxmlformats.org/officeDocument/2006/relationships/hyperlink" Target="https://maps.google.com/?q=16.2075001,-97.532446" TargetMode="External"/><Relationship Id="rId3912" Type="http://schemas.openxmlformats.org/officeDocument/2006/relationships/hyperlink" Target="https://maps.google.com/?q=16.8631198,-94.72991176" TargetMode="External"/><Relationship Id="rId833" Type="http://schemas.openxmlformats.org/officeDocument/2006/relationships/hyperlink" Target="https://maps.google.com/?q=17.084850583955,-96.698269299971" TargetMode="External"/><Relationship Id="rId1116" Type="http://schemas.openxmlformats.org/officeDocument/2006/relationships/hyperlink" Target="https://maps.google.com/?q=16.514945715563,-96.978636317791" TargetMode="External"/><Relationship Id="rId1463" Type="http://schemas.openxmlformats.org/officeDocument/2006/relationships/hyperlink" Target="https://maps.google.com/?q=16.950706,-96.750504" TargetMode="External"/><Relationship Id="rId1670" Type="http://schemas.openxmlformats.org/officeDocument/2006/relationships/hyperlink" Target="https://maps.google.com/?q=16.521413,-96.976865" TargetMode="External"/><Relationship Id="rId2514" Type="http://schemas.openxmlformats.org/officeDocument/2006/relationships/hyperlink" Target="https://maps.google.com/?q=16.267998,-96.309386" TargetMode="External"/><Relationship Id="rId2721" Type="http://schemas.openxmlformats.org/officeDocument/2006/relationships/hyperlink" Target="https://maps.google.com/?q=17.0614893068,-96.704707656755" TargetMode="External"/><Relationship Id="rId900" Type="http://schemas.openxmlformats.org/officeDocument/2006/relationships/hyperlink" Target="https://maps.google.com/?q=16.457882,-96.689151" TargetMode="External"/><Relationship Id="rId1323" Type="http://schemas.openxmlformats.org/officeDocument/2006/relationships/hyperlink" Target="https://maps.google.com/?q=16.479259,-94.836113" TargetMode="External"/><Relationship Id="rId1530" Type="http://schemas.openxmlformats.org/officeDocument/2006/relationships/hyperlink" Target="https://maps.google.com/?q=17.511838,-97.488548" TargetMode="External"/><Relationship Id="rId3288" Type="http://schemas.openxmlformats.org/officeDocument/2006/relationships/hyperlink" Target="https://maps.google.com/?q=16.785620917392,-96.571712569038" TargetMode="External"/><Relationship Id="rId3495" Type="http://schemas.openxmlformats.org/officeDocument/2006/relationships/hyperlink" Target="https://maps.google.com/?q=16.789920929688,-96.551631571025" TargetMode="External"/><Relationship Id="rId2097" Type="http://schemas.openxmlformats.org/officeDocument/2006/relationships/hyperlink" Target="https://maps.google.com/?q=16.927853998913,-96.601565645899" TargetMode="External"/><Relationship Id="rId3148" Type="http://schemas.openxmlformats.org/officeDocument/2006/relationships/hyperlink" Target="https://maps.google.com/?q=16.78048593254,-96.577316346615" TargetMode="External"/><Relationship Id="rId3355" Type="http://schemas.openxmlformats.org/officeDocument/2006/relationships/hyperlink" Target="https://maps.google.com/?q=16.785930924218,-96.558374566877" TargetMode="External"/><Relationship Id="rId3562" Type="http://schemas.openxmlformats.org/officeDocument/2006/relationships/hyperlink" Target="https://maps.google.com/?q=16.2027111,-97.526375" TargetMode="External"/><Relationship Id="rId276" Type="http://schemas.openxmlformats.org/officeDocument/2006/relationships/hyperlink" Target="https://maps.google.com/?q=17.801687,-96.959688" TargetMode="External"/><Relationship Id="rId483" Type="http://schemas.openxmlformats.org/officeDocument/2006/relationships/hyperlink" Target="https://maps.google.com/?q=17.533101,-97.720053" TargetMode="External"/><Relationship Id="rId690" Type="http://schemas.openxmlformats.org/officeDocument/2006/relationships/hyperlink" Target="https://maps.google.com/?q=17.052033697135,-96.721841714748" TargetMode="External"/><Relationship Id="rId2164" Type="http://schemas.openxmlformats.org/officeDocument/2006/relationships/hyperlink" Target="https://maps.google.com/?q=17.04992071,-96.63959548" TargetMode="External"/><Relationship Id="rId2371" Type="http://schemas.openxmlformats.org/officeDocument/2006/relationships/hyperlink" Target="https://maps.google.com/?q=17.38170024,-96.49958855" TargetMode="External"/><Relationship Id="rId3008" Type="http://schemas.openxmlformats.org/officeDocument/2006/relationships/hyperlink" Target="https://maps.google.com/?q=17.962285748154,-96.128041179009" TargetMode="External"/><Relationship Id="rId3215" Type="http://schemas.openxmlformats.org/officeDocument/2006/relationships/hyperlink" Target="https://maps.google.com/?q=16.784980921598,-96.575840559846" TargetMode="External"/><Relationship Id="rId3422" Type="http://schemas.openxmlformats.org/officeDocument/2006/relationships/hyperlink" Target="https://maps.google.com/?q=16.78664079,-96.57966342" TargetMode="External"/><Relationship Id="rId136" Type="http://schemas.openxmlformats.org/officeDocument/2006/relationships/hyperlink" Target="https://maps.google.com/?q=17.268306,-97.674045" TargetMode="External"/><Relationship Id="rId343" Type="http://schemas.openxmlformats.org/officeDocument/2006/relationships/hyperlink" Target="https://maps.google.com/?q=16.986267870333,-97.656699114615" TargetMode="External"/><Relationship Id="rId550" Type="http://schemas.openxmlformats.org/officeDocument/2006/relationships/hyperlink" Target="https://maps.google.com/?q=17.071544120503,-96.715912270785" TargetMode="External"/><Relationship Id="rId1180" Type="http://schemas.openxmlformats.org/officeDocument/2006/relationships/hyperlink" Target="https://maps.google.com/?q=16.534513424993,-97.492395785215" TargetMode="External"/><Relationship Id="rId2024" Type="http://schemas.openxmlformats.org/officeDocument/2006/relationships/hyperlink" Target="https://maps.google.com/?q=16.783283,-96.03133" TargetMode="External"/><Relationship Id="rId2231" Type="http://schemas.openxmlformats.org/officeDocument/2006/relationships/hyperlink" Target="https://maps.google.com/?q=17.34229513,-96.52881665" TargetMode="External"/><Relationship Id="rId203" Type="http://schemas.openxmlformats.org/officeDocument/2006/relationships/hyperlink" Target="https://maps.google.com/?q=15.906284654124,-96.220314959996" TargetMode="External"/><Relationship Id="rId1040" Type="http://schemas.openxmlformats.org/officeDocument/2006/relationships/hyperlink" Target="https://maps.google.com/?q=16.950706,-96.750504" TargetMode="External"/><Relationship Id="rId410" Type="http://schemas.openxmlformats.org/officeDocument/2006/relationships/hyperlink" Target="https://maps.google.com/?q=17.539710484943,-97.737615074552" TargetMode="External"/><Relationship Id="rId1997" Type="http://schemas.openxmlformats.org/officeDocument/2006/relationships/hyperlink" Target="https://maps.google.com/?q=16.782464,-96.03248" TargetMode="External"/><Relationship Id="rId1857" Type="http://schemas.openxmlformats.org/officeDocument/2006/relationships/hyperlink" Target="https://maps.google.com/?q=16.069827649199,-96.304578341973" TargetMode="External"/><Relationship Id="rId2908" Type="http://schemas.openxmlformats.org/officeDocument/2006/relationships/hyperlink" Target="https://maps.google.com/?q=16.709211,-97.864178" TargetMode="External"/><Relationship Id="rId1717" Type="http://schemas.openxmlformats.org/officeDocument/2006/relationships/hyperlink" Target="https://maps.google.com/?q=16.527426,-96.976788" TargetMode="External"/><Relationship Id="rId1924" Type="http://schemas.openxmlformats.org/officeDocument/2006/relationships/hyperlink" Target="https://maps.google.com/?q=16.779499,-96.033168" TargetMode="External"/><Relationship Id="rId3072" Type="http://schemas.openxmlformats.org/officeDocument/2006/relationships/hyperlink" Target="https://maps.google.com/?q=16.258821,-97.216399" TargetMode="External"/><Relationship Id="rId3889" Type="http://schemas.openxmlformats.org/officeDocument/2006/relationships/hyperlink" Target="https://maps.google.com/?q=16.85749491,-94.74004224" TargetMode="External"/><Relationship Id="rId2698" Type="http://schemas.openxmlformats.org/officeDocument/2006/relationships/hyperlink" Target="https://maps.google.com/?q=17.070530246135,-96.715681380911" TargetMode="External"/><Relationship Id="rId3749" Type="http://schemas.openxmlformats.org/officeDocument/2006/relationships/hyperlink" Target="https://maps.google.com/?q=16.2084761,-97.532991" TargetMode="External"/><Relationship Id="rId3956" Type="http://schemas.openxmlformats.org/officeDocument/2006/relationships/hyperlink" Target="https://maps.google.com/?q=16.88608783,-94.70753941" TargetMode="External"/><Relationship Id="rId877" Type="http://schemas.openxmlformats.org/officeDocument/2006/relationships/hyperlink" Target="https://maps.google.com/?q=17.12012664017,-96.759083917863" TargetMode="External"/><Relationship Id="rId2558" Type="http://schemas.openxmlformats.org/officeDocument/2006/relationships/hyperlink" Target="https://maps.google.com/?q=17.08698295,-96.737758969" TargetMode="External"/><Relationship Id="rId2765" Type="http://schemas.openxmlformats.org/officeDocument/2006/relationships/hyperlink" Target="https://maps.google.com/?q=17.786508,-96.804143" TargetMode="External"/><Relationship Id="rId2972" Type="http://schemas.openxmlformats.org/officeDocument/2006/relationships/hyperlink" Target="https://maps.google.com/?q=17.800239037518,-96.962410960185" TargetMode="External"/><Relationship Id="rId3609" Type="http://schemas.openxmlformats.org/officeDocument/2006/relationships/hyperlink" Target="https://maps.google.com/?q=16.2054001,-97.523095" TargetMode="External"/><Relationship Id="rId3816" Type="http://schemas.openxmlformats.org/officeDocument/2006/relationships/hyperlink" Target="https://maps.google.com/?q=16.2120271,-97.529822" TargetMode="External"/><Relationship Id="rId737" Type="http://schemas.openxmlformats.org/officeDocument/2006/relationships/hyperlink" Target="https://maps.google.com/?q=17.0602413,-96.7062017" TargetMode="External"/><Relationship Id="rId944" Type="http://schemas.openxmlformats.org/officeDocument/2006/relationships/hyperlink" Target="https://maps.google.com/?q=16.16316316954,-97.194328823786" TargetMode="External"/><Relationship Id="rId1367" Type="http://schemas.openxmlformats.org/officeDocument/2006/relationships/hyperlink" Target="https://maps.google.com/?q=17.173534874789,-95.914698642853" TargetMode="External"/><Relationship Id="rId1574" Type="http://schemas.openxmlformats.org/officeDocument/2006/relationships/hyperlink" Target="https://maps.google.com/?q=17.05950338,-96.705345821" TargetMode="External"/><Relationship Id="rId1781" Type="http://schemas.openxmlformats.org/officeDocument/2006/relationships/hyperlink" Target="https://maps.google.com/?q=17.98449,-96.82576" TargetMode="External"/><Relationship Id="rId2418" Type="http://schemas.openxmlformats.org/officeDocument/2006/relationships/hyperlink" Target="https://maps.google.com/?q=16.250126,-96.341282" TargetMode="External"/><Relationship Id="rId2625" Type="http://schemas.openxmlformats.org/officeDocument/2006/relationships/hyperlink" Target="https://maps.google.com/?q=17.23068881068,-97.157821570604" TargetMode="External"/><Relationship Id="rId2832" Type="http://schemas.openxmlformats.org/officeDocument/2006/relationships/hyperlink" Target="https://maps.google.com/?q=17.283363106554,-97.376098821518" TargetMode="External"/><Relationship Id="rId73" Type="http://schemas.openxmlformats.org/officeDocument/2006/relationships/hyperlink" Target="https://maps.google.com/?q=16.916362,-96.077981" TargetMode="External"/><Relationship Id="rId804" Type="http://schemas.openxmlformats.org/officeDocument/2006/relationships/hyperlink" Target="https://maps.google.com/?q=17.083169902666,-96.694621760308" TargetMode="External"/><Relationship Id="rId1227" Type="http://schemas.openxmlformats.org/officeDocument/2006/relationships/hyperlink" Target="https://maps.google.com/?q=18.021939951757,-96.610575870331" TargetMode="External"/><Relationship Id="rId1434" Type="http://schemas.openxmlformats.org/officeDocument/2006/relationships/hyperlink" Target="https://maps.google.com/?q=17.501442,-98.142584" TargetMode="External"/><Relationship Id="rId1641" Type="http://schemas.openxmlformats.org/officeDocument/2006/relationships/hyperlink" Target="https://maps.google.com/?q=17.286347,-97.977061" TargetMode="External"/><Relationship Id="rId1501" Type="http://schemas.openxmlformats.org/officeDocument/2006/relationships/hyperlink" Target="https://maps.google.com/?q=17.242113018914,-96.821013905622" TargetMode="External"/><Relationship Id="rId3399" Type="http://schemas.openxmlformats.org/officeDocument/2006/relationships/hyperlink" Target="https://maps.google.com/?q=16.7861883,-96.57889905" TargetMode="External"/><Relationship Id="rId3259" Type="http://schemas.openxmlformats.org/officeDocument/2006/relationships/hyperlink" Target="https://maps.google.com/?q=16.785389922351,-96.56551656407" TargetMode="External"/><Relationship Id="rId3466" Type="http://schemas.openxmlformats.org/officeDocument/2006/relationships/hyperlink" Target="https://maps.google.com/?q=16.788811927803,-96.553511570499" TargetMode="External"/><Relationship Id="rId387" Type="http://schemas.openxmlformats.org/officeDocument/2006/relationships/hyperlink" Target="https://maps.google.com/?q=17.473625769547,-97.707480272491" TargetMode="External"/><Relationship Id="rId594" Type="http://schemas.openxmlformats.org/officeDocument/2006/relationships/hyperlink" Target="https://maps.google.com/?q=17.045938827219,-96.717191548624" TargetMode="External"/><Relationship Id="rId2068" Type="http://schemas.openxmlformats.org/officeDocument/2006/relationships/hyperlink" Target="https://maps.google.com/?q=16.784953,-96.031102" TargetMode="External"/><Relationship Id="rId2275" Type="http://schemas.openxmlformats.org/officeDocument/2006/relationships/hyperlink" Target="https://maps.google.com/?q=17.35320642,-96.53689065" TargetMode="External"/><Relationship Id="rId3119" Type="http://schemas.openxmlformats.org/officeDocument/2006/relationships/hyperlink" Target="https://maps.google.com/?q=17.976098,-96.704173" TargetMode="External"/><Relationship Id="rId3326" Type="http://schemas.openxmlformats.org/officeDocument/2006/relationships/hyperlink" Target="https://maps.google.com/?q=16.785822921381,-96.576951564891" TargetMode="External"/><Relationship Id="rId3673" Type="http://schemas.openxmlformats.org/officeDocument/2006/relationships/hyperlink" Target="https://maps.google.com/?q=16.2069651,-97.532047" TargetMode="External"/><Relationship Id="rId3880" Type="http://schemas.openxmlformats.org/officeDocument/2006/relationships/hyperlink" Target="https://maps.google.com/?q=18.099532268467,-95.895939565885" TargetMode="External"/><Relationship Id="rId247" Type="http://schemas.openxmlformats.org/officeDocument/2006/relationships/hyperlink" Target="https://maps.google.com/?q=16.279995,-98.352984" TargetMode="External"/><Relationship Id="rId1084" Type="http://schemas.openxmlformats.org/officeDocument/2006/relationships/hyperlink" Target="https://maps.google.com/?q=17.115557,-96.758808" TargetMode="External"/><Relationship Id="rId2482" Type="http://schemas.openxmlformats.org/officeDocument/2006/relationships/hyperlink" Target="https://maps.google.com/?q=16.257412,-96.316259" TargetMode="External"/><Relationship Id="rId3533" Type="http://schemas.openxmlformats.org/officeDocument/2006/relationships/hyperlink" Target="https://maps.google.com/?q=16.790922927511,-96.551961570225" TargetMode="External"/><Relationship Id="rId3740" Type="http://schemas.openxmlformats.org/officeDocument/2006/relationships/hyperlink" Target="https://maps.google.com/?q=16.2082331,-97.530446" TargetMode="External"/><Relationship Id="rId107" Type="http://schemas.openxmlformats.org/officeDocument/2006/relationships/hyperlink" Target="https://maps.google.com/?q=17.688187897843,-97.035911876542" TargetMode="External"/><Relationship Id="rId454" Type="http://schemas.openxmlformats.org/officeDocument/2006/relationships/hyperlink" Target="https://maps.google.com/?q=17.494803503599,-97.725133278157" TargetMode="External"/><Relationship Id="rId661" Type="http://schemas.openxmlformats.org/officeDocument/2006/relationships/hyperlink" Target="https://maps.google.com/?q=17.050641449207,-96.716626842938" TargetMode="External"/><Relationship Id="rId1291" Type="http://schemas.openxmlformats.org/officeDocument/2006/relationships/hyperlink" Target="https://maps.google.com/?q=16.884117426654,-96.61430379266" TargetMode="External"/><Relationship Id="rId2135" Type="http://schemas.openxmlformats.org/officeDocument/2006/relationships/hyperlink" Target="https://maps.google.com/?q=16.877283934623,-97.506163530624" TargetMode="External"/><Relationship Id="rId2342" Type="http://schemas.openxmlformats.org/officeDocument/2006/relationships/hyperlink" Target="https://maps.google.com/?q=17.37892252,-96.50352994" TargetMode="External"/><Relationship Id="rId3600" Type="http://schemas.openxmlformats.org/officeDocument/2006/relationships/hyperlink" Target="https://maps.google.com/?q=16.2053383,-97.5241709" TargetMode="External"/><Relationship Id="rId314" Type="http://schemas.openxmlformats.org/officeDocument/2006/relationships/hyperlink" Target="https://maps.google.com/?q=16.9421305,-96.7119794" TargetMode="External"/><Relationship Id="rId521" Type="http://schemas.openxmlformats.org/officeDocument/2006/relationships/hyperlink" Target="https://maps.google.com/?q=16.69028323713,-95.523208717243" TargetMode="External"/><Relationship Id="rId1151" Type="http://schemas.openxmlformats.org/officeDocument/2006/relationships/hyperlink" Target="https://maps.google.com/?q=18.246926488856,-96.40071823048" TargetMode="External"/><Relationship Id="rId2202" Type="http://schemas.openxmlformats.org/officeDocument/2006/relationships/hyperlink" Target="https://maps.google.com/?q=16.638279419778,-96.586156668675" TargetMode="External"/><Relationship Id="rId1011" Type="http://schemas.openxmlformats.org/officeDocument/2006/relationships/hyperlink" Target="https://maps.google.com/?q=17.4671,-97.348479" TargetMode="External"/><Relationship Id="rId1968" Type="http://schemas.openxmlformats.org/officeDocument/2006/relationships/hyperlink" Target="https://maps.google.com/?q=16.781253,-96.03229" TargetMode="External"/><Relationship Id="rId3183" Type="http://schemas.openxmlformats.org/officeDocument/2006/relationships/hyperlink" Target="https://maps.google.com/?q=16.784457923803,-96.569499570502" TargetMode="External"/><Relationship Id="rId3390" Type="http://schemas.openxmlformats.org/officeDocument/2006/relationships/hyperlink" Target="https://maps.google.com/?q=16.786090923335,-96.577513564297" TargetMode="External"/><Relationship Id="rId1828" Type="http://schemas.openxmlformats.org/officeDocument/2006/relationships/hyperlink" Target="https://maps.google.com/?q=17.022499,-96.716198" TargetMode="External"/><Relationship Id="rId3043" Type="http://schemas.openxmlformats.org/officeDocument/2006/relationships/hyperlink" Target="https://maps.google.com/?q=18.25226,-96.396074" TargetMode="External"/><Relationship Id="rId3250" Type="http://schemas.openxmlformats.org/officeDocument/2006/relationships/hyperlink" Target="https://maps.google.com/?q=16.785320918525,-96.576537561374" TargetMode="External"/><Relationship Id="rId171" Type="http://schemas.openxmlformats.org/officeDocument/2006/relationships/hyperlink" Target="https://maps.google.com/?q=17.274168,-97.672188" TargetMode="External"/><Relationship Id="rId3110" Type="http://schemas.openxmlformats.org/officeDocument/2006/relationships/hyperlink" Target="https://maps.google.com/?q=17.97509,-96.704507" TargetMode="External"/><Relationship Id="rId988" Type="http://schemas.openxmlformats.org/officeDocument/2006/relationships/hyperlink" Target="https://maps.google.com/?q=17.462361,-97.349058" TargetMode="External"/><Relationship Id="rId2669" Type="http://schemas.openxmlformats.org/officeDocument/2006/relationships/hyperlink" Target="https://maps.google.com/?q=17.061805234909,-96.711556633383" TargetMode="External"/><Relationship Id="rId2876" Type="http://schemas.openxmlformats.org/officeDocument/2006/relationships/hyperlink" Target="https://maps.google.com/?q=17.056084822996,-96.824189782091" TargetMode="External"/><Relationship Id="rId3927" Type="http://schemas.openxmlformats.org/officeDocument/2006/relationships/hyperlink" Target="https://maps.google.com/?q=16.86690339,-94.72592962" TargetMode="External"/><Relationship Id="rId848" Type="http://schemas.openxmlformats.org/officeDocument/2006/relationships/hyperlink" Target="https://maps.google.com/?q=17.085995635584,-96.695961434871" TargetMode="External"/><Relationship Id="rId1478" Type="http://schemas.openxmlformats.org/officeDocument/2006/relationships/hyperlink" Target="https://maps.google.com/?q=17.801687,-96.959688" TargetMode="External"/><Relationship Id="rId1685" Type="http://schemas.openxmlformats.org/officeDocument/2006/relationships/hyperlink" Target="https://maps.google.com/?q=16.523735,-96.978198" TargetMode="External"/><Relationship Id="rId1892" Type="http://schemas.openxmlformats.org/officeDocument/2006/relationships/hyperlink" Target="https://maps.google.com/?q=16.778295,-96.032569" TargetMode="External"/><Relationship Id="rId2529" Type="http://schemas.openxmlformats.org/officeDocument/2006/relationships/hyperlink" Target="https://maps.google.com/?q=16.271202,-96.309475" TargetMode="External"/><Relationship Id="rId2736" Type="http://schemas.openxmlformats.org/officeDocument/2006/relationships/hyperlink" Target="https://maps.google.com/?q=16.483699808122,-95.036672927263" TargetMode="External"/><Relationship Id="rId708" Type="http://schemas.openxmlformats.org/officeDocument/2006/relationships/hyperlink" Target="https://maps.google.com/?q=17.053925219456,-96.707241102134" TargetMode="External"/><Relationship Id="rId915" Type="http://schemas.openxmlformats.org/officeDocument/2006/relationships/hyperlink" Target="https://maps.google.com/?q=17.325391324471,-96.480530600401" TargetMode="External"/><Relationship Id="rId1338" Type="http://schemas.openxmlformats.org/officeDocument/2006/relationships/hyperlink" Target="https://maps.google.com/?q=17.256572391379,-97.810398246002" TargetMode="External"/><Relationship Id="rId1545" Type="http://schemas.openxmlformats.org/officeDocument/2006/relationships/hyperlink" Target="https://maps.google.com/?q=17.423375,-97.311815" TargetMode="External"/><Relationship Id="rId2943" Type="http://schemas.openxmlformats.org/officeDocument/2006/relationships/hyperlink" Target="https://maps.google.com/?q=17.665589543473,-95.876808186777" TargetMode="External"/><Relationship Id="rId1405" Type="http://schemas.openxmlformats.org/officeDocument/2006/relationships/hyperlink" Target="https://maps.google.com/?q=17.062211,-96.724517" TargetMode="External"/><Relationship Id="rId1752" Type="http://schemas.openxmlformats.org/officeDocument/2006/relationships/hyperlink" Target="https://maps.google.com/?q=16.803186,-96.452881" TargetMode="External"/><Relationship Id="rId2803" Type="http://schemas.openxmlformats.org/officeDocument/2006/relationships/hyperlink" Target="https://maps.google.com/?q=17.795661,-96.818034" TargetMode="External"/><Relationship Id="rId44" Type="http://schemas.openxmlformats.org/officeDocument/2006/relationships/hyperlink" Target="https://maps.google.com/?q=15.8647539,-97.0712287" TargetMode="External"/><Relationship Id="rId1612" Type="http://schemas.openxmlformats.org/officeDocument/2006/relationships/hyperlink" Target="https://maps.google.com/?q=16.09068,-97.403347" TargetMode="External"/><Relationship Id="rId498" Type="http://schemas.openxmlformats.org/officeDocument/2006/relationships/hyperlink" Target="https://maps.google.com/?q=17.529143013126,-97.791179775463" TargetMode="External"/><Relationship Id="rId2179" Type="http://schemas.openxmlformats.org/officeDocument/2006/relationships/hyperlink" Target="https://maps.google.com/?q=17.05087918,-96.63790909" TargetMode="External"/><Relationship Id="rId3577" Type="http://schemas.openxmlformats.org/officeDocument/2006/relationships/hyperlink" Target="https://maps.google.com/?q=16.2046891,-97.53013" TargetMode="External"/><Relationship Id="rId3784" Type="http://schemas.openxmlformats.org/officeDocument/2006/relationships/hyperlink" Target="https://maps.google.com/?q=16.2090631,-97.528979" TargetMode="External"/><Relationship Id="rId3991" Type="http://schemas.openxmlformats.org/officeDocument/2006/relationships/hyperlink" Target="https://maps.google.com/?q=16.89961095,-94.69499907" TargetMode="External"/><Relationship Id="rId2386" Type="http://schemas.openxmlformats.org/officeDocument/2006/relationships/hyperlink" Target="https://maps.google.com/?q=16.248265,-96.346103" TargetMode="External"/><Relationship Id="rId2593" Type="http://schemas.openxmlformats.org/officeDocument/2006/relationships/hyperlink" Target="https://maps.google.com/?q=17.09114307,-96.73650959" TargetMode="External"/><Relationship Id="rId3437" Type="http://schemas.openxmlformats.org/officeDocument/2006/relationships/hyperlink" Target="https://maps.google.com/?q=16.787603926555,-96.555900572382" TargetMode="External"/><Relationship Id="rId3644" Type="http://schemas.openxmlformats.org/officeDocument/2006/relationships/hyperlink" Target="https://maps.google.com/?q=16.2059291,-97.5298221" TargetMode="External"/><Relationship Id="rId3851" Type="http://schemas.openxmlformats.org/officeDocument/2006/relationships/hyperlink" Target="https://maps.google.com/?q=17.02519336421,-96.710462638358" TargetMode="External"/><Relationship Id="rId358" Type="http://schemas.openxmlformats.org/officeDocument/2006/relationships/hyperlink" Target="https://maps.google.com/?q=17.020563733731,-97.663972688756" TargetMode="External"/><Relationship Id="rId565" Type="http://schemas.openxmlformats.org/officeDocument/2006/relationships/hyperlink" Target="https://maps.google.com/?q=17.037893496832,-96.710667106647" TargetMode="External"/><Relationship Id="rId772" Type="http://schemas.openxmlformats.org/officeDocument/2006/relationships/hyperlink" Target="https://maps.google.com/?q=17.073365993094,-96.739295812553" TargetMode="External"/><Relationship Id="rId1195" Type="http://schemas.openxmlformats.org/officeDocument/2006/relationships/hyperlink" Target="https://maps.google.com/?q=16.788327864222,-96.404038253967" TargetMode="External"/><Relationship Id="rId2039" Type="http://schemas.openxmlformats.org/officeDocument/2006/relationships/hyperlink" Target="https://maps.google.com/?q=16.783718,-96.032872" TargetMode="External"/><Relationship Id="rId2246" Type="http://schemas.openxmlformats.org/officeDocument/2006/relationships/hyperlink" Target="https://maps.google.com/?q=17.34948724,-96.52901185" TargetMode="External"/><Relationship Id="rId2453" Type="http://schemas.openxmlformats.org/officeDocument/2006/relationships/hyperlink" Target="https://maps.google.com/?q=16.253928,-96.33526" TargetMode="External"/><Relationship Id="rId2660" Type="http://schemas.openxmlformats.org/officeDocument/2006/relationships/hyperlink" Target="https://maps.google.com/?q=17.009921,-97.701628" TargetMode="External"/><Relationship Id="rId3504" Type="http://schemas.openxmlformats.org/officeDocument/2006/relationships/hyperlink" Target="https://maps.google.com/?q=16.790179928409,-96.553586577144" TargetMode="External"/><Relationship Id="rId3711" Type="http://schemas.openxmlformats.org/officeDocument/2006/relationships/hyperlink" Target="https://maps.google.com/?q=16.2077401,-97.527727" TargetMode="External"/><Relationship Id="rId218" Type="http://schemas.openxmlformats.org/officeDocument/2006/relationships/hyperlink" Target="https://maps.google.com/?q=15.908775968238,-96.216706203012" TargetMode="External"/><Relationship Id="rId425" Type="http://schemas.openxmlformats.org/officeDocument/2006/relationships/hyperlink" Target="https://maps.google.com/?q=17.503047707292,-97.731967968733" TargetMode="External"/><Relationship Id="rId632" Type="http://schemas.openxmlformats.org/officeDocument/2006/relationships/hyperlink" Target="https://maps.google.com/?q=17.048806379993,-96.727399170793" TargetMode="External"/><Relationship Id="rId1055" Type="http://schemas.openxmlformats.org/officeDocument/2006/relationships/hyperlink" Target="https://maps.google.com/?q=17.801687,-96.959688" TargetMode="External"/><Relationship Id="rId1262" Type="http://schemas.openxmlformats.org/officeDocument/2006/relationships/hyperlink" Target="https://maps.google.com/?q=17.573214,-97.889367" TargetMode="External"/><Relationship Id="rId2106" Type="http://schemas.openxmlformats.org/officeDocument/2006/relationships/hyperlink" Target="https://maps.google.com/?q=16.928911503622,-96.608462594055" TargetMode="External"/><Relationship Id="rId2313" Type="http://schemas.openxmlformats.org/officeDocument/2006/relationships/hyperlink" Target="https://maps.google.com/?q=17.36692785,-96.50931723" TargetMode="External"/><Relationship Id="rId2520" Type="http://schemas.openxmlformats.org/officeDocument/2006/relationships/hyperlink" Target="https://maps.google.com/?q=16.269017,-96.31015" TargetMode="External"/><Relationship Id="rId1122" Type="http://schemas.openxmlformats.org/officeDocument/2006/relationships/hyperlink" Target="https://maps.google.com/?q=17.031669,-96.7187" TargetMode="External"/><Relationship Id="rId3087" Type="http://schemas.openxmlformats.org/officeDocument/2006/relationships/hyperlink" Target="https://maps.google.com/?q=17.969968,-96.691492" TargetMode="External"/><Relationship Id="rId3294" Type="http://schemas.openxmlformats.org/officeDocument/2006/relationships/hyperlink" Target="https://maps.google.com/?q=16.785645917952,-96.573934566155" TargetMode="External"/><Relationship Id="rId1939" Type="http://schemas.openxmlformats.org/officeDocument/2006/relationships/hyperlink" Target="https://maps.google.com/?q=16.780295,-96.035091" TargetMode="External"/><Relationship Id="rId3154" Type="http://schemas.openxmlformats.org/officeDocument/2006/relationships/hyperlink" Target="https://maps.google.com/?q=16.783238924055,-96.567416564951" TargetMode="External"/><Relationship Id="rId3361" Type="http://schemas.openxmlformats.org/officeDocument/2006/relationships/hyperlink" Target="https://maps.google.com/?q=16.785943928168,-96.561882572779" TargetMode="External"/><Relationship Id="rId282" Type="http://schemas.openxmlformats.org/officeDocument/2006/relationships/hyperlink" Target="https://maps.google.com/?q=17.699055,-97.075906" TargetMode="External"/><Relationship Id="rId2170" Type="http://schemas.openxmlformats.org/officeDocument/2006/relationships/hyperlink" Target="https://maps.google.com/?q=17.05012862,-96.63704929" TargetMode="External"/><Relationship Id="rId3014" Type="http://schemas.openxmlformats.org/officeDocument/2006/relationships/hyperlink" Target="https://maps.google.com/?q=17.964183919827,-96.125960997607" TargetMode="External"/><Relationship Id="rId3221" Type="http://schemas.openxmlformats.org/officeDocument/2006/relationships/hyperlink" Target="https://maps.google.com/?q=16.78503791923,-96.572237561939" TargetMode="External"/><Relationship Id="rId8" Type="http://schemas.openxmlformats.org/officeDocument/2006/relationships/hyperlink" Target="https://maps.google.com/?q=16.801616130469,-96.436586528092" TargetMode="External"/><Relationship Id="rId142" Type="http://schemas.openxmlformats.org/officeDocument/2006/relationships/hyperlink" Target="https://maps.google.com/?q=17.269055,-97.67388" TargetMode="External"/><Relationship Id="rId2030" Type="http://schemas.openxmlformats.org/officeDocument/2006/relationships/hyperlink" Target="https://maps.google.com/?q=16.783468,-96.031197" TargetMode="External"/><Relationship Id="rId2987" Type="http://schemas.openxmlformats.org/officeDocument/2006/relationships/hyperlink" Target="https://maps.google.com/?q=17.556561981971,-97.81222046541" TargetMode="External"/><Relationship Id="rId959" Type="http://schemas.openxmlformats.org/officeDocument/2006/relationships/hyperlink" Target="https://maps.google.com/?q=16.351486211412,-96.533516467836" TargetMode="External"/><Relationship Id="rId1589" Type="http://schemas.openxmlformats.org/officeDocument/2006/relationships/hyperlink" Target="https://maps.google.com/?q=17.027336,-96.7118414" TargetMode="External"/><Relationship Id="rId1449" Type="http://schemas.openxmlformats.org/officeDocument/2006/relationships/hyperlink" Target="https://maps.google.com/?q=17.501442,-98.142584" TargetMode="External"/><Relationship Id="rId1796" Type="http://schemas.openxmlformats.org/officeDocument/2006/relationships/hyperlink" Target="https://maps.google.com/?q=17.988221,-96.831321" TargetMode="External"/><Relationship Id="rId2847" Type="http://schemas.openxmlformats.org/officeDocument/2006/relationships/hyperlink" Target="https://maps.google.com/?q=17.287387,-97.368927" TargetMode="External"/><Relationship Id="rId88" Type="http://schemas.openxmlformats.org/officeDocument/2006/relationships/hyperlink" Target="https://maps.google.com/?q=17.063274305274,-96.69067918863" TargetMode="External"/><Relationship Id="rId819" Type="http://schemas.openxmlformats.org/officeDocument/2006/relationships/hyperlink" Target="https://maps.google.com/?q=17.083914715217,-96.694335594991" TargetMode="External"/><Relationship Id="rId1656" Type="http://schemas.openxmlformats.org/officeDocument/2006/relationships/hyperlink" Target="https://maps.google.com/?q=16.517053,-96.977266" TargetMode="External"/><Relationship Id="rId1863" Type="http://schemas.openxmlformats.org/officeDocument/2006/relationships/hyperlink" Target="https://maps.google.com/?q=16.070352868606,-96.302240265047" TargetMode="External"/><Relationship Id="rId2707" Type="http://schemas.openxmlformats.org/officeDocument/2006/relationships/hyperlink" Target="https://maps.google.com/?q=17.078401688867,-96.714536077661" TargetMode="External"/><Relationship Id="rId2914" Type="http://schemas.openxmlformats.org/officeDocument/2006/relationships/hyperlink" Target="https://maps.google.com/?q=16.544442,-97.838639" TargetMode="External"/><Relationship Id="rId1309" Type="http://schemas.openxmlformats.org/officeDocument/2006/relationships/hyperlink" Target="https://maps.google.com/?q=15.923916714477,-96.175687595245" TargetMode="External"/><Relationship Id="rId1516" Type="http://schemas.openxmlformats.org/officeDocument/2006/relationships/hyperlink" Target="https://maps.google.com/?q=16.866371,-96.785623" TargetMode="External"/><Relationship Id="rId1723" Type="http://schemas.openxmlformats.org/officeDocument/2006/relationships/hyperlink" Target="https://maps.google.com/?q=16.796603,-96.461755" TargetMode="External"/><Relationship Id="rId1930" Type="http://schemas.openxmlformats.org/officeDocument/2006/relationships/hyperlink" Target="https://maps.google.com/?q=16.779931,-96.036454" TargetMode="External"/><Relationship Id="rId15" Type="http://schemas.openxmlformats.org/officeDocument/2006/relationships/hyperlink" Target="https://maps.google.com/?q=16.328751,-96.596529" TargetMode="External"/><Relationship Id="rId3688" Type="http://schemas.openxmlformats.org/officeDocument/2006/relationships/hyperlink" Target="https://maps.google.com/?q=16.207148,-97.533134" TargetMode="External"/><Relationship Id="rId3895" Type="http://schemas.openxmlformats.org/officeDocument/2006/relationships/hyperlink" Target="https://maps.google.com/?q=16.85898384,-94.7381509" TargetMode="External"/><Relationship Id="rId2497" Type="http://schemas.openxmlformats.org/officeDocument/2006/relationships/hyperlink" Target="https://maps.google.com/?q=16.261492,-96.312441" TargetMode="External"/><Relationship Id="rId3548" Type="http://schemas.openxmlformats.org/officeDocument/2006/relationships/hyperlink" Target="https://maps.google.com/?q=16.791251929103,-96.551904577265" TargetMode="External"/><Relationship Id="rId3755" Type="http://schemas.openxmlformats.org/officeDocument/2006/relationships/hyperlink" Target="https://maps.google.com/?q=16.2085221,-97.532079" TargetMode="External"/><Relationship Id="rId469" Type="http://schemas.openxmlformats.org/officeDocument/2006/relationships/hyperlink" Target="https://maps.google.com/?q=17.49060218799,-97.717220326736" TargetMode="External"/><Relationship Id="rId676" Type="http://schemas.openxmlformats.org/officeDocument/2006/relationships/hyperlink" Target="https://maps.google.com/?q=17.051113240945,-96.72589341979" TargetMode="External"/><Relationship Id="rId883" Type="http://schemas.openxmlformats.org/officeDocument/2006/relationships/hyperlink" Target="https://maps.google.com/?q=17.121425549427,-96.765498899894" TargetMode="External"/><Relationship Id="rId1099" Type="http://schemas.openxmlformats.org/officeDocument/2006/relationships/hyperlink" Target="https://maps.google.com/?q=17.071544120503,-96.715912270785" TargetMode="External"/><Relationship Id="rId2357" Type="http://schemas.openxmlformats.org/officeDocument/2006/relationships/hyperlink" Target="https://maps.google.com/?q=17.37987661,-96.50398733" TargetMode="External"/><Relationship Id="rId2564" Type="http://schemas.openxmlformats.org/officeDocument/2006/relationships/hyperlink" Target="https://maps.google.com/?q=17.08833180668,-96.737810616" TargetMode="External"/><Relationship Id="rId3408" Type="http://schemas.openxmlformats.org/officeDocument/2006/relationships/hyperlink" Target="https://maps.google.com/?q=16.786339924043,-96.560360566093" TargetMode="External"/><Relationship Id="rId3615" Type="http://schemas.openxmlformats.org/officeDocument/2006/relationships/hyperlink" Target="https://maps.google.com/?q=16.2054221,-97.523466" TargetMode="External"/><Relationship Id="rId3962" Type="http://schemas.openxmlformats.org/officeDocument/2006/relationships/hyperlink" Target="https://maps.google.com/?q=16.88952038,-94.70660356" TargetMode="External"/><Relationship Id="rId329" Type="http://schemas.openxmlformats.org/officeDocument/2006/relationships/hyperlink" Target="https://maps.google.com/?q=17.026530780924,-97.665247446498" TargetMode="External"/><Relationship Id="rId536" Type="http://schemas.openxmlformats.org/officeDocument/2006/relationships/hyperlink" Target="https://maps.google.com/?q=17.071544120503,-96.715912270785" TargetMode="External"/><Relationship Id="rId1166" Type="http://schemas.openxmlformats.org/officeDocument/2006/relationships/hyperlink" Target="https://maps.google.com/?q=18.185270113531,-96.708123787697" TargetMode="External"/><Relationship Id="rId1373" Type="http://schemas.openxmlformats.org/officeDocument/2006/relationships/hyperlink" Target="https://maps.google.com/?q=16.351396683359,-96.378688784061" TargetMode="External"/><Relationship Id="rId2217" Type="http://schemas.openxmlformats.org/officeDocument/2006/relationships/hyperlink" Target="https://maps.google.com/?q=16.644476568855,-96.580833663991" TargetMode="External"/><Relationship Id="rId2771" Type="http://schemas.openxmlformats.org/officeDocument/2006/relationships/hyperlink" Target="https://maps.google.com/?q=17.787552,-96.806157" TargetMode="External"/><Relationship Id="rId3822" Type="http://schemas.openxmlformats.org/officeDocument/2006/relationships/hyperlink" Target="https://maps.google.com/?q=16.2130991,-97.529305" TargetMode="External"/><Relationship Id="rId743" Type="http://schemas.openxmlformats.org/officeDocument/2006/relationships/hyperlink" Target="https://maps.google.com/?q=17.061204721576,-96.730748347522" TargetMode="External"/><Relationship Id="rId950" Type="http://schemas.openxmlformats.org/officeDocument/2006/relationships/hyperlink" Target="https://maps.google.com/?q=17.036439316796,-97.296048921125" TargetMode="External"/><Relationship Id="rId1026" Type="http://schemas.openxmlformats.org/officeDocument/2006/relationships/hyperlink" Target="https://maps.google.com/?q=17.019292,-96.74935" TargetMode="External"/><Relationship Id="rId1580" Type="http://schemas.openxmlformats.org/officeDocument/2006/relationships/hyperlink" Target="https://maps.google.com/?q=17.0244233,-96.71319" TargetMode="External"/><Relationship Id="rId2424" Type="http://schemas.openxmlformats.org/officeDocument/2006/relationships/hyperlink" Target="https://maps.google.com/?q=16.250504,-96.34394" TargetMode="External"/><Relationship Id="rId2631" Type="http://schemas.openxmlformats.org/officeDocument/2006/relationships/hyperlink" Target="https://maps.google.com/?q=17.0425385276,-96.72112748441" TargetMode="External"/><Relationship Id="rId603" Type="http://schemas.openxmlformats.org/officeDocument/2006/relationships/hyperlink" Target="https://maps.google.com/?q=17.046458203849,-96.721543019531" TargetMode="External"/><Relationship Id="rId810" Type="http://schemas.openxmlformats.org/officeDocument/2006/relationships/hyperlink" Target="https://maps.google.com/?q=17.083531083748,-96.698685414027" TargetMode="External"/><Relationship Id="rId1233" Type="http://schemas.openxmlformats.org/officeDocument/2006/relationships/hyperlink" Target="https://maps.google.com/?q=15.870355,-97.060756" TargetMode="External"/><Relationship Id="rId1440" Type="http://schemas.openxmlformats.org/officeDocument/2006/relationships/hyperlink" Target="https://maps.google.com/?q=18.13222,-97.070751" TargetMode="External"/><Relationship Id="rId1300" Type="http://schemas.openxmlformats.org/officeDocument/2006/relationships/hyperlink" Target="https://maps.google.com/?q=18.232800883026,-96.831716012234" TargetMode="External"/><Relationship Id="rId3198" Type="http://schemas.openxmlformats.org/officeDocument/2006/relationships/hyperlink" Target="https://maps.google.com/?q=16.784742919514,-96.575326561477" TargetMode="External"/><Relationship Id="rId3058" Type="http://schemas.openxmlformats.org/officeDocument/2006/relationships/hyperlink" Target="https://maps.google.com/?q=17.44449,-96.6126" TargetMode="External"/><Relationship Id="rId3265" Type="http://schemas.openxmlformats.org/officeDocument/2006/relationships/hyperlink" Target="https://maps.google.com/?q=16.785427921878,-96.563808564119" TargetMode="External"/><Relationship Id="rId3472" Type="http://schemas.openxmlformats.org/officeDocument/2006/relationships/hyperlink" Target="https://maps.google.com/?q=16.789075929054,-96.55361557446" TargetMode="External"/><Relationship Id="rId186" Type="http://schemas.openxmlformats.org/officeDocument/2006/relationships/hyperlink" Target="https://maps.google.com/?q=17.277014158218,-97.671199953373" TargetMode="External"/><Relationship Id="rId393" Type="http://schemas.openxmlformats.org/officeDocument/2006/relationships/hyperlink" Target="https://maps.google.com/?q=17.519700819325,-97.734729332506" TargetMode="External"/><Relationship Id="rId2074" Type="http://schemas.openxmlformats.org/officeDocument/2006/relationships/hyperlink" Target="https://maps.google.com/?q=16.785382,-96.030704" TargetMode="External"/><Relationship Id="rId2281" Type="http://schemas.openxmlformats.org/officeDocument/2006/relationships/hyperlink" Target="https://maps.google.com/?q=17.35392992,-96.53623202" TargetMode="External"/><Relationship Id="rId3125" Type="http://schemas.openxmlformats.org/officeDocument/2006/relationships/hyperlink" Target="https://maps.google.com/?q=17.976742,-96.703608" TargetMode="External"/><Relationship Id="rId3332" Type="http://schemas.openxmlformats.org/officeDocument/2006/relationships/hyperlink" Target="https://maps.google.com/?q=16.785866919504,-96.57352856545" TargetMode="External"/><Relationship Id="rId253" Type="http://schemas.openxmlformats.org/officeDocument/2006/relationships/hyperlink" Target="https://maps.google.com/?q=16.328751,-96.596529" TargetMode="External"/><Relationship Id="rId460" Type="http://schemas.openxmlformats.org/officeDocument/2006/relationships/hyperlink" Target="https://maps.google.com/?q=17.481419444419,-97.709493" TargetMode="External"/><Relationship Id="rId1090" Type="http://schemas.openxmlformats.org/officeDocument/2006/relationships/hyperlink" Target="https://maps.google.com/?q=17.048242,-96.69496" TargetMode="External"/><Relationship Id="rId2141" Type="http://schemas.openxmlformats.org/officeDocument/2006/relationships/hyperlink" Target="https://maps.google.com/?q=16.877986939198,-97.504665636255" TargetMode="External"/><Relationship Id="rId113" Type="http://schemas.openxmlformats.org/officeDocument/2006/relationships/hyperlink" Target="https://maps.google.com/?q=17.464013944014,-97.280168160026" TargetMode="External"/><Relationship Id="rId320" Type="http://schemas.openxmlformats.org/officeDocument/2006/relationships/hyperlink" Target="https://maps.google.com/?q=17.009536949547,-97.700707210876" TargetMode="External"/><Relationship Id="rId2001" Type="http://schemas.openxmlformats.org/officeDocument/2006/relationships/hyperlink" Target="https://maps.google.com/?q=16.782711,-96.032491" TargetMode="External"/><Relationship Id="rId2958" Type="http://schemas.openxmlformats.org/officeDocument/2006/relationships/hyperlink" Target="https://maps.google.com/?q=17.650040285874,-96.917021617998" TargetMode="External"/><Relationship Id="rId1767" Type="http://schemas.openxmlformats.org/officeDocument/2006/relationships/hyperlink" Target="https://maps.google.com/?q=17.02645243,-96.71283835" TargetMode="External"/><Relationship Id="rId1974" Type="http://schemas.openxmlformats.org/officeDocument/2006/relationships/hyperlink" Target="https://maps.google.com/?q=16.781445,-96.033019" TargetMode="External"/><Relationship Id="rId2818" Type="http://schemas.openxmlformats.org/officeDocument/2006/relationships/hyperlink" Target="https://maps.google.com/?q=17.279482999905,-97.366230974552" TargetMode="External"/><Relationship Id="rId59" Type="http://schemas.openxmlformats.org/officeDocument/2006/relationships/hyperlink" Target="https://maps.google.com/?q=17.246139732993,-96.888437171943" TargetMode="External"/><Relationship Id="rId1627" Type="http://schemas.openxmlformats.org/officeDocument/2006/relationships/hyperlink" Target="https://maps.google.com/?q=18.117008592784,-96.480674292862" TargetMode="External"/><Relationship Id="rId1834" Type="http://schemas.openxmlformats.org/officeDocument/2006/relationships/hyperlink" Target="https://maps.google.com/?q=17.929807520335,-97.676049884008" TargetMode="External"/><Relationship Id="rId2096" Type="http://schemas.openxmlformats.org/officeDocument/2006/relationships/hyperlink" Target="https://maps.google.com/?q=16.927842205287,-96.601528006029" TargetMode="External"/><Relationship Id="rId3494" Type="http://schemas.openxmlformats.org/officeDocument/2006/relationships/hyperlink" Target="https://maps.google.com/?q=16.789917924971,-96.554467575654" TargetMode="External"/><Relationship Id="rId3799" Type="http://schemas.openxmlformats.org/officeDocument/2006/relationships/hyperlink" Target="https://maps.google.com/?q=16.2096001,-97.532425" TargetMode="External"/><Relationship Id="rId1901" Type="http://schemas.openxmlformats.org/officeDocument/2006/relationships/hyperlink" Target="https://maps.google.com/?q=16.778694,-96.033448" TargetMode="External"/><Relationship Id="rId3147" Type="http://schemas.openxmlformats.org/officeDocument/2006/relationships/hyperlink" Target="https://maps.google.com/?q=16.78048593,-96.57731635" TargetMode="External"/><Relationship Id="rId3354" Type="http://schemas.openxmlformats.org/officeDocument/2006/relationships/hyperlink" Target="https://maps.google.com/?q=16.785930922215,-96.557968573394" TargetMode="External"/><Relationship Id="rId3561" Type="http://schemas.openxmlformats.org/officeDocument/2006/relationships/hyperlink" Target="https://maps.google.com/?q=16.793243923948,-96.551292580421" TargetMode="External"/><Relationship Id="rId3659" Type="http://schemas.openxmlformats.org/officeDocument/2006/relationships/hyperlink" Target="https://maps.google.com/?q=16.2064041,-97.527882" TargetMode="External"/><Relationship Id="rId275" Type="http://schemas.openxmlformats.org/officeDocument/2006/relationships/hyperlink" Target="https://maps.google.com/?q=17.724615,-97.323898" TargetMode="External"/><Relationship Id="rId482" Type="http://schemas.openxmlformats.org/officeDocument/2006/relationships/hyperlink" Target="https://maps.google.com/?q=17.533099323116,-97.722125334988" TargetMode="External"/><Relationship Id="rId2163" Type="http://schemas.openxmlformats.org/officeDocument/2006/relationships/hyperlink" Target="https://maps.google.com/?q=17.04991984,-96.63807538" TargetMode="External"/><Relationship Id="rId2370" Type="http://schemas.openxmlformats.org/officeDocument/2006/relationships/hyperlink" Target="https://maps.google.com/?q=17.38141056,-96.49953605" TargetMode="External"/><Relationship Id="rId3007" Type="http://schemas.openxmlformats.org/officeDocument/2006/relationships/hyperlink" Target="https://maps.google.com/?q=17.962143434553,-96.128141761847" TargetMode="External"/><Relationship Id="rId3214" Type="http://schemas.openxmlformats.org/officeDocument/2006/relationships/hyperlink" Target="https://maps.google.com/?q=16.784977919585,-96.574412565979" TargetMode="External"/><Relationship Id="rId3421" Type="http://schemas.openxmlformats.org/officeDocument/2006/relationships/hyperlink" Target="https://maps.google.com/?q=16.786638928858,-96.556841569897" TargetMode="External"/><Relationship Id="rId3866" Type="http://schemas.openxmlformats.org/officeDocument/2006/relationships/hyperlink" Target="https://maps.google.com/?q=17.034010559533,-96.728229307329" TargetMode="External"/><Relationship Id="rId135" Type="http://schemas.openxmlformats.org/officeDocument/2006/relationships/hyperlink" Target="https://maps.google.com/?q=17.268223,-97.673688" TargetMode="External"/><Relationship Id="rId342" Type="http://schemas.openxmlformats.org/officeDocument/2006/relationships/hyperlink" Target="https://maps.google.com/?q=16.986262739939,-97.656170719439" TargetMode="External"/><Relationship Id="rId787" Type="http://schemas.openxmlformats.org/officeDocument/2006/relationships/hyperlink" Target="https://maps.google.com/?q=17.081881273726,-96.698123857464" TargetMode="External"/><Relationship Id="rId994" Type="http://schemas.openxmlformats.org/officeDocument/2006/relationships/hyperlink" Target="https://maps.google.com/?q=17.463717,-97.343614" TargetMode="External"/><Relationship Id="rId2023" Type="http://schemas.openxmlformats.org/officeDocument/2006/relationships/hyperlink" Target="https://maps.google.com/?q=16.78327,-96.033074" TargetMode="External"/><Relationship Id="rId2230" Type="http://schemas.openxmlformats.org/officeDocument/2006/relationships/hyperlink" Target="https://maps.google.com/?q=16.628389546956,-97.488941880062" TargetMode="External"/><Relationship Id="rId2468" Type="http://schemas.openxmlformats.org/officeDocument/2006/relationships/hyperlink" Target="https://maps.google.com/?q=16.255134,-96.324407" TargetMode="External"/><Relationship Id="rId2675" Type="http://schemas.openxmlformats.org/officeDocument/2006/relationships/hyperlink" Target="https://maps.google.com/?q=17.063043720961,-96.725324412256" TargetMode="External"/><Relationship Id="rId2882" Type="http://schemas.openxmlformats.org/officeDocument/2006/relationships/hyperlink" Target="https://maps.google.com/?q=17.056652616329,-96.823754858895" TargetMode="External"/><Relationship Id="rId3519" Type="http://schemas.openxmlformats.org/officeDocument/2006/relationships/hyperlink" Target="https://maps.google.com/?q=16.790715930762,-96.553679576364" TargetMode="External"/><Relationship Id="rId3726" Type="http://schemas.openxmlformats.org/officeDocument/2006/relationships/hyperlink" Target="https://maps.google.com/?q=16.2080401,-97.527621" TargetMode="External"/><Relationship Id="rId3933" Type="http://schemas.openxmlformats.org/officeDocument/2006/relationships/hyperlink" Target="https://maps.google.com/?q=16.87074318,-94.72600203" TargetMode="External"/><Relationship Id="rId202" Type="http://schemas.openxmlformats.org/officeDocument/2006/relationships/hyperlink" Target="https://maps.google.com/?q=15.90609169406,-96.218656380148" TargetMode="External"/><Relationship Id="rId647" Type="http://schemas.openxmlformats.org/officeDocument/2006/relationships/hyperlink" Target="https://maps.google.com/?q=17.049769029141,-96.716764451088" TargetMode="External"/><Relationship Id="rId854" Type="http://schemas.openxmlformats.org/officeDocument/2006/relationships/hyperlink" Target="https://maps.google.com/?q=17.086592684984,-96.693813156233" TargetMode="External"/><Relationship Id="rId1277" Type="http://schemas.openxmlformats.org/officeDocument/2006/relationships/hyperlink" Target="https://maps.google.com/?q=16.249290783772,-96.059534245369" TargetMode="External"/><Relationship Id="rId1484" Type="http://schemas.openxmlformats.org/officeDocument/2006/relationships/hyperlink" Target="https://maps.google.com/?q=17.03937,-96.790338" TargetMode="External"/><Relationship Id="rId1691" Type="http://schemas.openxmlformats.org/officeDocument/2006/relationships/hyperlink" Target="https://maps.google.com/?q=16.524301,-96.977974" TargetMode="External"/><Relationship Id="rId2328" Type="http://schemas.openxmlformats.org/officeDocument/2006/relationships/hyperlink" Target="https://maps.google.com/?q=17.37362012,-96.50710093" TargetMode="External"/><Relationship Id="rId2535" Type="http://schemas.openxmlformats.org/officeDocument/2006/relationships/hyperlink" Target="https://maps.google.com/?q=16.272368,-96.308979" TargetMode="External"/><Relationship Id="rId2742" Type="http://schemas.openxmlformats.org/officeDocument/2006/relationships/hyperlink" Target="https://maps.google.com/?q=16.646828,-96.775625" TargetMode="External"/><Relationship Id="rId507" Type="http://schemas.openxmlformats.org/officeDocument/2006/relationships/hyperlink" Target="https://maps.google.com/?q=17.531911,-97.792849" TargetMode="External"/><Relationship Id="rId714" Type="http://schemas.openxmlformats.org/officeDocument/2006/relationships/hyperlink" Target="https://maps.google.com/?q=17.057179449918,-96.709338318602" TargetMode="External"/><Relationship Id="rId921" Type="http://schemas.openxmlformats.org/officeDocument/2006/relationships/hyperlink" Target="https://maps.google.com/?q=16.357483,-96.54291" TargetMode="External"/><Relationship Id="rId1137" Type="http://schemas.openxmlformats.org/officeDocument/2006/relationships/hyperlink" Target="https://maps.google.com/?q=16.360586883213,-95.017181766865" TargetMode="External"/><Relationship Id="rId1344" Type="http://schemas.openxmlformats.org/officeDocument/2006/relationships/hyperlink" Target="https://maps.google.com/?q=17.455515060906,-98.089188457672" TargetMode="External"/><Relationship Id="rId1551" Type="http://schemas.openxmlformats.org/officeDocument/2006/relationships/hyperlink" Target="https://maps.google.com/?q=17.42904,-97.308581" TargetMode="External"/><Relationship Id="rId1789" Type="http://schemas.openxmlformats.org/officeDocument/2006/relationships/hyperlink" Target="https://maps.google.com/?q=17.985973,-96.832254" TargetMode="External"/><Relationship Id="rId1996" Type="http://schemas.openxmlformats.org/officeDocument/2006/relationships/hyperlink" Target="https://maps.google.com/?q=16.782397,-96.032283" TargetMode="External"/><Relationship Id="rId2602" Type="http://schemas.openxmlformats.org/officeDocument/2006/relationships/hyperlink" Target="https://maps.google.com/?q=17.091662666456,-96.737890373148" TargetMode="External"/><Relationship Id="rId50" Type="http://schemas.openxmlformats.org/officeDocument/2006/relationships/hyperlink" Target="https://maps.google.com/?q=16.485361,-95.042028" TargetMode="External"/><Relationship Id="rId1204" Type="http://schemas.openxmlformats.org/officeDocument/2006/relationships/hyperlink" Target="https://maps.google.com/?q=17.59450791837,-96.55019753373" TargetMode="External"/><Relationship Id="rId1411" Type="http://schemas.openxmlformats.org/officeDocument/2006/relationships/hyperlink" Target="https://maps.google.com/?q=15.746144,-96.465183" TargetMode="External"/><Relationship Id="rId1649" Type="http://schemas.openxmlformats.org/officeDocument/2006/relationships/hyperlink" Target="https://maps.google.com/?q=16.515539,-96.977732" TargetMode="External"/><Relationship Id="rId1856" Type="http://schemas.openxmlformats.org/officeDocument/2006/relationships/hyperlink" Target="https://maps.google.com/?q=16.069613981619,-96.301757843517" TargetMode="External"/><Relationship Id="rId2907" Type="http://schemas.openxmlformats.org/officeDocument/2006/relationships/hyperlink" Target="https://maps.google.com/?q=16.648475,-97.881608" TargetMode="External"/><Relationship Id="rId3071" Type="http://schemas.openxmlformats.org/officeDocument/2006/relationships/hyperlink" Target="https://maps.google.com/?q=16.257595,-97.219075" TargetMode="External"/><Relationship Id="rId1509" Type="http://schemas.openxmlformats.org/officeDocument/2006/relationships/hyperlink" Target="https://maps.google.com/?q=16.328751,-96.596529" TargetMode="External"/><Relationship Id="rId1716" Type="http://schemas.openxmlformats.org/officeDocument/2006/relationships/hyperlink" Target="https://maps.google.com/?q=16.527227,-96.976951" TargetMode="External"/><Relationship Id="rId1923" Type="http://schemas.openxmlformats.org/officeDocument/2006/relationships/hyperlink" Target="https://maps.google.com/?q=16.779485,-96.033159" TargetMode="External"/><Relationship Id="rId3169" Type="http://schemas.openxmlformats.org/officeDocument/2006/relationships/hyperlink" Target="https://maps.google.com/?q=16.783786924864,-96.56909356466" TargetMode="External"/><Relationship Id="rId3376" Type="http://schemas.openxmlformats.org/officeDocument/2006/relationships/hyperlink" Target="https://maps.google.com/?q=16.786026921288,-96.570994565846" TargetMode="External"/><Relationship Id="rId3583" Type="http://schemas.openxmlformats.org/officeDocument/2006/relationships/hyperlink" Target="https://maps.google.com/?q=16.2049141,-97.529815" TargetMode="External"/><Relationship Id="rId297" Type="http://schemas.openxmlformats.org/officeDocument/2006/relationships/hyperlink" Target="https://maps.google.com/?q=16.518424,-94.700847" TargetMode="External"/><Relationship Id="rId2185" Type="http://schemas.openxmlformats.org/officeDocument/2006/relationships/hyperlink" Target="https://maps.google.com/?q=17.05146928,-96.63689041" TargetMode="External"/><Relationship Id="rId2392" Type="http://schemas.openxmlformats.org/officeDocument/2006/relationships/hyperlink" Target="https://maps.google.com/?q=16.248791,-96.346278" TargetMode="External"/><Relationship Id="rId3029" Type="http://schemas.openxmlformats.org/officeDocument/2006/relationships/hyperlink" Target="https://maps.google.com/?q=16.300108,-96.770073" TargetMode="External"/><Relationship Id="rId3236" Type="http://schemas.openxmlformats.org/officeDocument/2006/relationships/hyperlink" Target="https://maps.google.com/?q=16.785200923237,-96.576095560514" TargetMode="External"/><Relationship Id="rId3790" Type="http://schemas.openxmlformats.org/officeDocument/2006/relationships/hyperlink" Target="https://maps.google.com/?q=16.2093051,-97.532069" TargetMode="External"/><Relationship Id="rId3888" Type="http://schemas.openxmlformats.org/officeDocument/2006/relationships/hyperlink" Target="https://maps.google.com/?q=16.85737259,-94.74061354" TargetMode="External"/><Relationship Id="rId157" Type="http://schemas.openxmlformats.org/officeDocument/2006/relationships/hyperlink" Target="https://maps.google.com/?q=17.270955,-97.674195" TargetMode="External"/><Relationship Id="rId364" Type="http://schemas.openxmlformats.org/officeDocument/2006/relationships/hyperlink" Target="https://maps.google.com/?q=17.040987,-96.728744" TargetMode="External"/><Relationship Id="rId2045" Type="http://schemas.openxmlformats.org/officeDocument/2006/relationships/hyperlink" Target="https://maps.google.com/?q=16.78388,-96.033021" TargetMode="External"/><Relationship Id="rId2697" Type="http://schemas.openxmlformats.org/officeDocument/2006/relationships/hyperlink" Target="https://maps.google.com/?q=17.069331552671,-96.717682308836" TargetMode="External"/><Relationship Id="rId3443" Type="http://schemas.openxmlformats.org/officeDocument/2006/relationships/hyperlink" Target="https://maps.google.com/?q=16.788072923581,-96.555720569851" TargetMode="External"/><Relationship Id="rId3650" Type="http://schemas.openxmlformats.org/officeDocument/2006/relationships/hyperlink" Target="https://maps.google.com/?q=16.206102,-97.526934" TargetMode="External"/><Relationship Id="rId3748" Type="http://schemas.openxmlformats.org/officeDocument/2006/relationships/hyperlink" Target="https://maps.google.com/?q=16.208472,-97.5326275" TargetMode="External"/><Relationship Id="rId571" Type="http://schemas.openxmlformats.org/officeDocument/2006/relationships/hyperlink" Target="https://maps.google.com/?q=17.042623705348,-96.720253270709" TargetMode="External"/><Relationship Id="rId669" Type="http://schemas.openxmlformats.org/officeDocument/2006/relationships/hyperlink" Target="https://maps.google.com/?q=17.050889656821,-96.708125105485" TargetMode="External"/><Relationship Id="rId876" Type="http://schemas.openxmlformats.org/officeDocument/2006/relationships/hyperlink" Target="https://maps.google.com/?q=17.120100896815,-96.759131996883" TargetMode="External"/><Relationship Id="rId1299" Type="http://schemas.openxmlformats.org/officeDocument/2006/relationships/hyperlink" Target="https://maps.google.com/?q=18.105934975851,-96.952201492065" TargetMode="External"/><Relationship Id="rId2252" Type="http://schemas.openxmlformats.org/officeDocument/2006/relationships/hyperlink" Target="https://maps.google.com/?q=17.35028676,-96.53451253" TargetMode="External"/><Relationship Id="rId2557" Type="http://schemas.openxmlformats.org/officeDocument/2006/relationships/hyperlink" Target="https://maps.google.com/?q=17.0868203575,-96.737685743" TargetMode="External"/><Relationship Id="rId3303" Type="http://schemas.openxmlformats.org/officeDocument/2006/relationships/hyperlink" Target="https://maps.google.com/?q=16.785692919932,-96.573106568943" TargetMode="External"/><Relationship Id="rId3510" Type="http://schemas.openxmlformats.org/officeDocument/2006/relationships/hyperlink" Target="https://maps.google.com/?q=16.790468929394,-96.553613575149" TargetMode="External"/><Relationship Id="rId3608" Type="http://schemas.openxmlformats.org/officeDocument/2006/relationships/hyperlink" Target="https://maps.google.com/?q=16.2053981,-97.522439" TargetMode="External"/><Relationship Id="rId3955" Type="http://schemas.openxmlformats.org/officeDocument/2006/relationships/hyperlink" Target="https://maps.google.com/?q=16.88538055,-94.70783339" TargetMode="External"/><Relationship Id="rId224" Type="http://schemas.openxmlformats.org/officeDocument/2006/relationships/hyperlink" Target="https://maps.google.com/?q=15.909545307635,-96.214735698043" TargetMode="External"/><Relationship Id="rId431" Type="http://schemas.openxmlformats.org/officeDocument/2006/relationships/hyperlink" Target="https://maps.google.com/?q=17.505989180984,-97.709572927578" TargetMode="External"/><Relationship Id="rId529" Type="http://schemas.openxmlformats.org/officeDocument/2006/relationships/hyperlink" Target="https://maps.google.com/?q=17.049216,-96.727602" TargetMode="External"/><Relationship Id="rId736" Type="http://schemas.openxmlformats.org/officeDocument/2006/relationships/hyperlink" Target="https://maps.google.com/?q=17.0601611,-96.7060308" TargetMode="External"/><Relationship Id="rId1061" Type="http://schemas.openxmlformats.org/officeDocument/2006/relationships/hyperlink" Target="https://maps.google.com/?q=17.072192,-96.738527" TargetMode="External"/><Relationship Id="rId1159" Type="http://schemas.openxmlformats.org/officeDocument/2006/relationships/hyperlink" Target="https://maps.google.com/?q=16.302942759093,-97.315909834324" TargetMode="External"/><Relationship Id="rId1366" Type="http://schemas.openxmlformats.org/officeDocument/2006/relationships/hyperlink" Target="https://maps.google.com/?q=17.053333,-95.891389" TargetMode="External"/><Relationship Id="rId2112" Type="http://schemas.openxmlformats.org/officeDocument/2006/relationships/hyperlink" Target="https://maps.google.com/?q=16.930852212336,-96.601534880073" TargetMode="External"/><Relationship Id="rId2417" Type="http://schemas.openxmlformats.org/officeDocument/2006/relationships/hyperlink" Target="https://maps.google.com/?q=16.250096,-96.34156" TargetMode="External"/><Relationship Id="rId2764" Type="http://schemas.openxmlformats.org/officeDocument/2006/relationships/hyperlink" Target="https://maps.google.com/?q=17.786299,-96.803976" TargetMode="External"/><Relationship Id="rId2971" Type="http://schemas.openxmlformats.org/officeDocument/2006/relationships/hyperlink" Target="https://maps.google.com/?q=17.800127946896,-96.962703320968" TargetMode="External"/><Relationship Id="rId3815" Type="http://schemas.openxmlformats.org/officeDocument/2006/relationships/hyperlink" Target="https://maps.google.com/?q=16.2114831,-97.529796" TargetMode="External"/><Relationship Id="rId943" Type="http://schemas.openxmlformats.org/officeDocument/2006/relationships/hyperlink" Target="https://maps.google.com/?q=16.474073471964,-98.013970967419" TargetMode="External"/><Relationship Id="rId1019" Type="http://schemas.openxmlformats.org/officeDocument/2006/relationships/hyperlink" Target="https://maps.google.com/?q=17.02241,-96.719295" TargetMode="External"/><Relationship Id="rId1573" Type="http://schemas.openxmlformats.org/officeDocument/2006/relationships/hyperlink" Target="https://maps.google.com/?q=17.059409789,-96.7053847" TargetMode="External"/><Relationship Id="rId1780" Type="http://schemas.openxmlformats.org/officeDocument/2006/relationships/hyperlink" Target="https://maps.google.com/?q=17.98432,-96.82621" TargetMode="External"/><Relationship Id="rId1878" Type="http://schemas.openxmlformats.org/officeDocument/2006/relationships/hyperlink" Target="https://maps.google.com/?q=16.07141180477,-96.302101440044" TargetMode="External"/><Relationship Id="rId2624" Type="http://schemas.openxmlformats.org/officeDocument/2006/relationships/hyperlink" Target="https://maps.google.com/?q=16.570309,-96.729945" TargetMode="External"/><Relationship Id="rId2831" Type="http://schemas.openxmlformats.org/officeDocument/2006/relationships/hyperlink" Target="https://maps.google.com/?q=17.282952,-97.364328" TargetMode="External"/><Relationship Id="rId2929" Type="http://schemas.openxmlformats.org/officeDocument/2006/relationships/hyperlink" Target="https://maps.google.com/?q=17.062203660283,-96.725628907967" TargetMode="External"/><Relationship Id="rId72" Type="http://schemas.openxmlformats.org/officeDocument/2006/relationships/hyperlink" Target="https://maps.google.com/?q=16.914738,-96.077856" TargetMode="External"/><Relationship Id="rId803" Type="http://schemas.openxmlformats.org/officeDocument/2006/relationships/hyperlink" Target="https://maps.google.com/?q=17.083135123923,-96.69473966609" TargetMode="External"/><Relationship Id="rId1226" Type="http://schemas.openxmlformats.org/officeDocument/2006/relationships/hyperlink" Target="https://maps.google.com/?q=18.101521463498,-97.054245516533" TargetMode="External"/><Relationship Id="rId1433" Type="http://schemas.openxmlformats.org/officeDocument/2006/relationships/hyperlink" Target="https://maps.google.com/?q=17.458341,-97.225285" TargetMode="External"/><Relationship Id="rId1640" Type="http://schemas.openxmlformats.org/officeDocument/2006/relationships/hyperlink" Target="https://maps.google.com/?q=17.269836611872,-97.970397072552" TargetMode="External"/><Relationship Id="rId1738" Type="http://schemas.openxmlformats.org/officeDocument/2006/relationships/hyperlink" Target="https://maps.google.com/?q=16.80008,-96.455173" TargetMode="External"/><Relationship Id="rId3093" Type="http://schemas.openxmlformats.org/officeDocument/2006/relationships/hyperlink" Target="https://maps.google.com/?q=17.970345,-96.689769" TargetMode="External"/><Relationship Id="rId1500" Type="http://schemas.openxmlformats.org/officeDocument/2006/relationships/hyperlink" Target="https://maps.google.com/?q=17.068371399274,-96.720254867421" TargetMode="External"/><Relationship Id="rId1945" Type="http://schemas.openxmlformats.org/officeDocument/2006/relationships/hyperlink" Target="https://maps.google.com/?q=16.780503,-96.034035" TargetMode="External"/><Relationship Id="rId3160" Type="http://schemas.openxmlformats.org/officeDocument/2006/relationships/hyperlink" Target="https://maps.google.com/?q=16.783395923755,-96.567062567331" TargetMode="External"/><Relationship Id="rId3398" Type="http://schemas.openxmlformats.org/officeDocument/2006/relationships/hyperlink" Target="https://maps.google.com/?q=16.786181925662,-96.557400571497" TargetMode="External"/><Relationship Id="rId4004" Type="http://schemas.openxmlformats.org/officeDocument/2006/relationships/hyperlink" Target="https://maps.google.com/?q=16.901783,-94.69132025" TargetMode="External"/><Relationship Id="rId1805" Type="http://schemas.openxmlformats.org/officeDocument/2006/relationships/hyperlink" Target="https://maps.google.com/?q=17.987986,-96.840159" TargetMode="External"/><Relationship Id="rId3020" Type="http://schemas.openxmlformats.org/officeDocument/2006/relationships/hyperlink" Target="https://maps.google.com/?q=16.299507,-96.770454" TargetMode="External"/><Relationship Id="rId3258" Type="http://schemas.openxmlformats.org/officeDocument/2006/relationships/hyperlink" Target="https://maps.google.com/?q=16.785379924951,-96.563674570207" TargetMode="External"/><Relationship Id="rId3465" Type="http://schemas.openxmlformats.org/officeDocument/2006/relationships/hyperlink" Target="https://maps.google.com/?q=16.78879392648,-96.555070568792" TargetMode="External"/><Relationship Id="rId3672" Type="http://schemas.openxmlformats.org/officeDocument/2006/relationships/hyperlink" Target="https://maps.google.com/?q=16.2069431,-97.527888" TargetMode="External"/><Relationship Id="rId179" Type="http://schemas.openxmlformats.org/officeDocument/2006/relationships/hyperlink" Target="https://maps.google.com/?q=17.275772,-97.671433" TargetMode="External"/><Relationship Id="rId386" Type="http://schemas.openxmlformats.org/officeDocument/2006/relationships/hyperlink" Target="https://maps.google.com/?q=17.473484255998,-97.705621495701" TargetMode="External"/><Relationship Id="rId593" Type="http://schemas.openxmlformats.org/officeDocument/2006/relationships/hyperlink" Target="https://maps.google.com/?q=17.045885894614,-96.717139313931" TargetMode="External"/><Relationship Id="rId2067" Type="http://schemas.openxmlformats.org/officeDocument/2006/relationships/hyperlink" Target="https://maps.google.com/?q=16.784942,-96.030707" TargetMode="External"/><Relationship Id="rId2274" Type="http://schemas.openxmlformats.org/officeDocument/2006/relationships/hyperlink" Target="https://maps.google.com/?q=17.35314083,-96.52791891" TargetMode="External"/><Relationship Id="rId2481" Type="http://schemas.openxmlformats.org/officeDocument/2006/relationships/hyperlink" Target="https://maps.google.com/?q=16.257318,-96.316284" TargetMode="External"/><Relationship Id="rId3118" Type="http://schemas.openxmlformats.org/officeDocument/2006/relationships/hyperlink" Target="https://maps.google.com/?q=17.975548,-96.705058" TargetMode="External"/><Relationship Id="rId3325" Type="http://schemas.openxmlformats.org/officeDocument/2006/relationships/hyperlink" Target="https://maps.google.com/?q=16.785817926896,-96.564734563696" TargetMode="External"/><Relationship Id="rId3532" Type="http://schemas.openxmlformats.org/officeDocument/2006/relationships/hyperlink" Target="https://maps.google.com/?q=16.790894925357,-96.553736574851" TargetMode="External"/><Relationship Id="rId3977" Type="http://schemas.openxmlformats.org/officeDocument/2006/relationships/hyperlink" Target="https://maps.google.com/?q=16.895541,-94.698737" TargetMode="External"/><Relationship Id="rId246" Type="http://schemas.openxmlformats.org/officeDocument/2006/relationships/hyperlink" Target="https://maps.google.com/?q=16.273385,-98.351492" TargetMode="External"/><Relationship Id="rId453" Type="http://schemas.openxmlformats.org/officeDocument/2006/relationships/hyperlink" Target="https://maps.google.com/?q=17.493593507351,-97.730445948638" TargetMode="External"/><Relationship Id="rId660" Type="http://schemas.openxmlformats.org/officeDocument/2006/relationships/hyperlink" Target="https://maps.google.com/?q=17.050634359282,-96.727677185588" TargetMode="External"/><Relationship Id="rId898" Type="http://schemas.openxmlformats.org/officeDocument/2006/relationships/hyperlink" Target="https://maps.google.com/?q=16.453186,-96.694215" TargetMode="External"/><Relationship Id="rId1083" Type="http://schemas.openxmlformats.org/officeDocument/2006/relationships/hyperlink" Target="https://maps.google.com/?q=17.112605,-96.756445" TargetMode="External"/><Relationship Id="rId1290" Type="http://schemas.openxmlformats.org/officeDocument/2006/relationships/hyperlink" Target="https://maps.google.com/?q=17.235389844102,-96.869102682209" TargetMode="External"/><Relationship Id="rId2134" Type="http://schemas.openxmlformats.org/officeDocument/2006/relationships/hyperlink" Target="https://maps.google.com/?q=16.877039195955,-97.50482327073" TargetMode="External"/><Relationship Id="rId2341" Type="http://schemas.openxmlformats.org/officeDocument/2006/relationships/hyperlink" Target="https://maps.google.com/?q=17.37890801,-96.50453663" TargetMode="External"/><Relationship Id="rId2579" Type="http://schemas.openxmlformats.org/officeDocument/2006/relationships/hyperlink" Target="https://maps.google.com/?q=17.08964880699,-96.73699265511" TargetMode="External"/><Relationship Id="rId2786" Type="http://schemas.openxmlformats.org/officeDocument/2006/relationships/hyperlink" Target="https://maps.google.com/?q=17.788911,-96.813788" TargetMode="External"/><Relationship Id="rId2993" Type="http://schemas.openxmlformats.org/officeDocument/2006/relationships/hyperlink" Target="https://maps.google.com/?q=15.958416932494,-96.770009573798" TargetMode="External"/><Relationship Id="rId3837" Type="http://schemas.openxmlformats.org/officeDocument/2006/relationships/hyperlink" Target="https://maps.google.com/?q=17.031601118149,-97.959300153541" TargetMode="External"/><Relationship Id="rId106" Type="http://schemas.openxmlformats.org/officeDocument/2006/relationships/hyperlink" Target="https://maps.google.com/?q=16.508777895494,-96.794731685555" TargetMode="External"/><Relationship Id="rId313" Type="http://schemas.openxmlformats.org/officeDocument/2006/relationships/hyperlink" Target="https://maps.google.com/?q=16.9419725,-96.7114924" TargetMode="External"/><Relationship Id="rId758" Type="http://schemas.openxmlformats.org/officeDocument/2006/relationships/hyperlink" Target="https://maps.google.com/?q=17.06639573842,-96.735418731817" TargetMode="External"/><Relationship Id="rId965" Type="http://schemas.openxmlformats.org/officeDocument/2006/relationships/hyperlink" Target="https://maps.google.com/?q=17.894170284605,-96.710545473107" TargetMode="External"/><Relationship Id="rId1150" Type="http://schemas.openxmlformats.org/officeDocument/2006/relationships/hyperlink" Target="https://maps.google.com/?q=15.855932969342,-97.051994012234" TargetMode="External"/><Relationship Id="rId1388" Type="http://schemas.openxmlformats.org/officeDocument/2006/relationships/hyperlink" Target="https://maps.google.com/?q=17.051589,-96.7311605" TargetMode="External"/><Relationship Id="rId1595" Type="http://schemas.openxmlformats.org/officeDocument/2006/relationships/hyperlink" Target="https://maps.google.com/?q=17.028425,-96.711193" TargetMode="External"/><Relationship Id="rId2439" Type="http://schemas.openxmlformats.org/officeDocument/2006/relationships/hyperlink" Target="https://maps.google.com/?q=16.252602,-96.338833" TargetMode="External"/><Relationship Id="rId2646" Type="http://schemas.openxmlformats.org/officeDocument/2006/relationships/hyperlink" Target="https://maps.google.com/?q=17.370286,-97.277189" TargetMode="External"/><Relationship Id="rId2853" Type="http://schemas.openxmlformats.org/officeDocument/2006/relationships/hyperlink" Target="https://maps.google.com/?q=17.288041533879,-97.368278510245" TargetMode="External"/><Relationship Id="rId3904" Type="http://schemas.openxmlformats.org/officeDocument/2006/relationships/hyperlink" Target="https://maps.google.com/?q=16.86300456,-94.73392719" TargetMode="External"/><Relationship Id="rId94" Type="http://schemas.openxmlformats.org/officeDocument/2006/relationships/hyperlink" Target="https://maps.google.com/?q=18.128504222033,-96.846492648481" TargetMode="External"/><Relationship Id="rId520" Type="http://schemas.openxmlformats.org/officeDocument/2006/relationships/hyperlink" Target="https://maps.google.com/?q=16.599219623649,-95.624019089057" TargetMode="External"/><Relationship Id="rId618" Type="http://schemas.openxmlformats.org/officeDocument/2006/relationships/hyperlink" Target="https://maps.google.com/?q=17.047611003568,-96.727698295934" TargetMode="External"/><Relationship Id="rId825" Type="http://schemas.openxmlformats.org/officeDocument/2006/relationships/hyperlink" Target="https://maps.google.com/?q=17.084273148556,-96.69919248297" TargetMode="External"/><Relationship Id="rId1248" Type="http://schemas.openxmlformats.org/officeDocument/2006/relationships/hyperlink" Target="https://maps.google.com/?q=17.011700677065,-97.574177301401" TargetMode="External"/><Relationship Id="rId1455" Type="http://schemas.openxmlformats.org/officeDocument/2006/relationships/hyperlink" Target="https://maps.google.com/?q=16.328751,-96.596529" TargetMode="External"/><Relationship Id="rId1662" Type="http://schemas.openxmlformats.org/officeDocument/2006/relationships/hyperlink" Target="https://maps.google.com/?q=16.518378,-96.976934" TargetMode="External"/><Relationship Id="rId2201" Type="http://schemas.openxmlformats.org/officeDocument/2006/relationships/hyperlink" Target="https://maps.google.com/?q=16.637923618658,-96.586627599814" TargetMode="External"/><Relationship Id="rId2506" Type="http://schemas.openxmlformats.org/officeDocument/2006/relationships/hyperlink" Target="https://maps.google.com/?q=16.265432,-96.309566" TargetMode="External"/><Relationship Id="rId1010" Type="http://schemas.openxmlformats.org/officeDocument/2006/relationships/hyperlink" Target="https://maps.google.com/?q=17.467087,-97.358836" TargetMode="External"/><Relationship Id="rId1108" Type="http://schemas.openxmlformats.org/officeDocument/2006/relationships/hyperlink" Target="https://maps.google.com/?q=15.666373,-96.492047" TargetMode="External"/><Relationship Id="rId1315" Type="http://schemas.openxmlformats.org/officeDocument/2006/relationships/hyperlink" Target="https://maps.google.com/?q=16.880705345453,-95.03952446627" TargetMode="External"/><Relationship Id="rId1967" Type="http://schemas.openxmlformats.org/officeDocument/2006/relationships/hyperlink" Target="https://maps.google.com/?q=16.781241,-96.032511" TargetMode="External"/><Relationship Id="rId2713" Type="http://schemas.openxmlformats.org/officeDocument/2006/relationships/hyperlink" Target="https://maps.google.com/?q=17.083574813855,-96.713960104329" TargetMode="External"/><Relationship Id="rId2920" Type="http://schemas.openxmlformats.org/officeDocument/2006/relationships/hyperlink" Target="https://maps.google.com/?q=16.10985,-97.205188" TargetMode="External"/><Relationship Id="rId1522" Type="http://schemas.openxmlformats.org/officeDocument/2006/relationships/hyperlink" Target="https://maps.google.com/?q=17.207464,-96.801094" TargetMode="External"/><Relationship Id="rId21" Type="http://schemas.openxmlformats.org/officeDocument/2006/relationships/hyperlink" Target="https://maps.google.com/?q=16.791625,-96.674999" TargetMode="External"/><Relationship Id="rId2089" Type="http://schemas.openxmlformats.org/officeDocument/2006/relationships/hyperlink" Target="https://maps.google.com/?q=16.924570044562,-96.604937855637" TargetMode="External"/><Relationship Id="rId3487" Type="http://schemas.openxmlformats.org/officeDocument/2006/relationships/hyperlink" Target="https://maps.google.com/?q=16.789613923823,-96.554625572358" TargetMode="External"/><Relationship Id="rId3694" Type="http://schemas.openxmlformats.org/officeDocument/2006/relationships/hyperlink" Target="https://maps.google.com/?q=16.2072371,-97.5302207" TargetMode="External"/><Relationship Id="rId2296" Type="http://schemas.openxmlformats.org/officeDocument/2006/relationships/hyperlink" Target="https://maps.google.com/?q=17.35543386,-96.53074739" TargetMode="External"/><Relationship Id="rId3347" Type="http://schemas.openxmlformats.org/officeDocument/2006/relationships/hyperlink" Target="https://maps.google.com/?q=16.785918928064,-96.561209569754" TargetMode="External"/><Relationship Id="rId3554" Type="http://schemas.openxmlformats.org/officeDocument/2006/relationships/hyperlink" Target="https://maps.google.com/?q=16.791992924648,-96.551733572532" TargetMode="External"/><Relationship Id="rId3761" Type="http://schemas.openxmlformats.org/officeDocument/2006/relationships/hyperlink" Target="https://maps.google.com/?q=16.2086351,-97.531918" TargetMode="External"/><Relationship Id="rId268" Type="http://schemas.openxmlformats.org/officeDocument/2006/relationships/hyperlink" Target="https://maps.google.com/?q=17.331248,-96.487901" TargetMode="External"/><Relationship Id="rId475" Type="http://schemas.openxmlformats.org/officeDocument/2006/relationships/hyperlink" Target="https://maps.google.com/?q=17.495770924523,-97.716083407528" TargetMode="External"/><Relationship Id="rId682" Type="http://schemas.openxmlformats.org/officeDocument/2006/relationships/hyperlink" Target="https://maps.google.com/?q=17.051420150237,-96.705510681871" TargetMode="External"/><Relationship Id="rId2156" Type="http://schemas.openxmlformats.org/officeDocument/2006/relationships/hyperlink" Target="https://maps.google.com/?q=17.04922559,-96.63942863" TargetMode="External"/><Relationship Id="rId2363" Type="http://schemas.openxmlformats.org/officeDocument/2006/relationships/hyperlink" Target="https://maps.google.com/?q=17.38023966,-96.50268431" TargetMode="External"/><Relationship Id="rId2570" Type="http://schemas.openxmlformats.org/officeDocument/2006/relationships/hyperlink" Target="https://maps.google.com/?q=17.08910459449,-96.73741889" TargetMode="External"/><Relationship Id="rId3207" Type="http://schemas.openxmlformats.org/officeDocument/2006/relationships/hyperlink" Target="https://maps.google.com/?q=16.784890922828,-96.575661560599" TargetMode="External"/><Relationship Id="rId3414" Type="http://schemas.openxmlformats.org/officeDocument/2006/relationships/hyperlink" Target="https://maps.google.com/?q=16.786466927795,-96.560066569521" TargetMode="External"/><Relationship Id="rId3621" Type="http://schemas.openxmlformats.org/officeDocument/2006/relationships/hyperlink" Target="https://maps.google.com/?q=16.2054661,-97.52775" TargetMode="External"/><Relationship Id="rId128" Type="http://schemas.openxmlformats.org/officeDocument/2006/relationships/hyperlink" Target="https://maps.google.com/?q=17.273258,-97.672608" TargetMode="External"/><Relationship Id="rId335" Type="http://schemas.openxmlformats.org/officeDocument/2006/relationships/hyperlink" Target="https://maps.google.com/?q=16.977602786339,-97.639087957803" TargetMode="External"/><Relationship Id="rId542" Type="http://schemas.openxmlformats.org/officeDocument/2006/relationships/hyperlink" Target="https://maps.google.com/?q=17.071544120503,-96.715912270785" TargetMode="External"/><Relationship Id="rId1172" Type="http://schemas.openxmlformats.org/officeDocument/2006/relationships/hyperlink" Target="https://maps.google.com/?q=18.064859274813,-96.488560030931" TargetMode="External"/><Relationship Id="rId2016" Type="http://schemas.openxmlformats.org/officeDocument/2006/relationships/hyperlink" Target="https://maps.google.com/?q=16.783116,-96.032437" TargetMode="External"/><Relationship Id="rId2223" Type="http://schemas.openxmlformats.org/officeDocument/2006/relationships/hyperlink" Target="https://maps.google.com/?q=16.645186138558,-96.577295457048" TargetMode="External"/><Relationship Id="rId2430" Type="http://schemas.openxmlformats.org/officeDocument/2006/relationships/hyperlink" Target="https://maps.google.com/?q=16.252148,-96.33209" TargetMode="External"/><Relationship Id="rId402" Type="http://schemas.openxmlformats.org/officeDocument/2006/relationships/hyperlink" Target="https://maps.google.com/?q=17.520696832472,-97.738910239252" TargetMode="External"/><Relationship Id="rId1032" Type="http://schemas.openxmlformats.org/officeDocument/2006/relationships/hyperlink" Target="https://maps.google.com/?q=16.328751,-96.596529" TargetMode="External"/><Relationship Id="rId1989" Type="http://schemas.openxmlformats.org/officeDocument/2006/relationships/hyperlink" Target="https://maps.google.com/?q=16.781972,-96.032577" TargetMode="External"/><Relationship Id="rId1849" Type="http://schemas.openxmlformats.org/officeDocument/2006/relationships/hyperlink" Target="https://maps.google.com/?q=16.609349,-97.530292" TargetMode="External"/><Relationship Id="rId3064" Type="http://schemas.openxmlformats.org/officeDocument/2006/relationships/hyperlink" Target="https://maps.google.com/?q=17.043906,-95.848184" TargetMode="External"/><Relationship Id="rId192" Type="http://schemas.openxmlformats.org/officeDocument/2006/relationships/hyperlink" Target="https://maps.google.com/?q=17.277667,-97.671043387732" TargetMode="External"/><Relationship Id="rId1709" Type="http://schemas.openxmlformats.org/officeDocument/2006/relationships/hyperlink" Target="https://maps.google.com/?q=16.525904,-96.977895" TargetMode="External"/><Relationship Id="rId1916" Type="http://schemas.openxmlformats.org/officeDocument/2006/relationships/hyperlink" Target="https://maps.google.com/?q=16.779213,-96.034431" TargetMode="External"/><Relationship Id="rId3271" Type="http://schemas.openxmlformats.org/officeDocument/2006/relationships/hyperlink" Target="https://maps.google.com/?q=16.785481918451,-96.573027566826" TargetMode="External"/><Relationship Id="rId2080" Type="http://schemas.openxmlformats.org/officeDocument/2006/relationships/hyperlink" Target="https://maps.google.com/?q=16.786183,-96.030008" TargetMode="External"/><Relationship Id="rId3131" Type="http://schemas.openxmlformats.org/officeDocument/2006/relationships/hyperlink" Target="https://maps.google.com/?q=17.977352,-96.704827" TargetMode="External"/><Relationship Id="rId2897" Type="http://schemas.openxmlformats.org/officeDocument/2006/relationships/hyperlink" Target="https://maps.google.com/?q=17.233258,-97.548611" TargetMode="External"/><Relationship Id="rId3948" Type="http://schemas.openxmlformats.org/officeDocument/2006/relationships/hyperlink" Target="https://maps.google.com/?q=16.88131949,-94.71153221" TargetMode="External"/><Relationship Id="rId869" Type="http://schemas.openxmlformats.org/officeDocument/2006/relationships/hyperlink" Target="https://maps.google.com/?q=17.116124255787,-96.769033240515" TargetMode="External"/><Relationship Id="rId1499" Type="http://schemas.openxmlformats.org/officeDocument/2006/relationships/hyperlink" Target="https://maps.google.com/?q=17.0655864,-96.7219286" TargetMode="External"/><Relationship Id="rId729" Type="http://schemas.openxmlformats.org/officeDocument/2006/relationships/hyperlink" Target="https://maps.google.com/?q=17.058507028094,-96.742920998205" TargetMode="External"/><Relationship Id="rId1359" Type="http://schemas.openxmlformats.org/officeDocument/2006/relationships/hyperlink" Target="https://maps.google.com/?q=17.426286298692,-96.538748184027" TargetMode="External"/><Relationship Id="rId2757" Type="http://schemas.openxmlformats.org/officeDocument/2006/relationships/hyperlink" Target="https://maps.google.com/?q=17.785529,-96.802222" TargetMode="External"/><Relationship Id="rId2964" Type="http://schemas.openxmlformats.org/officeDocument/2006/relationships/hyperlink" Target="https://maps.google.com/?q=17.843709610346,-97.015159789628" TargetMode="External"/><Relationship Id="rId3808" Type="http://schemas.openxmlformats.org/officeDocument/2006/relationships/hyperlink" Target="https://maps.google.com/?q=16.2103298,-97.5291321" TargetMode="External"/><Relationship Id="rId936" Type="http://schemas.openxmlformats.org/officeDocument/2006/relationships/hyperlink" Target="https://maps.google.com/?q=17.738354151452,-97.274365228225" TargetMode="External"/><Relationship Id="rId1219" Type="http://schemas.openxmlformats.org/officeDocument/2006/relationships/hyperlink" Target="https://maps.google.com/?q=17.2089956275,-96.79730229217" TargetMode="External"/><Relationship Id="rId1566" Type="http://schemas.openxmlformats.org/officeDocument/2006/relationships/hyperlink" Target="https://maps.google.com/?q=17.722389692786,-96.843729513878" TargetMode="External"/><Relationship Id="rId1773" Type="http://schemas.openxmlformats.org/officeDocument/2006/relationships/hyperlink" Target="https://maps.google.com/?q=17.02783354,-96.7114911" TargetMode="External"/><Relationship Id="rId1980" Type="http://schemas.openxmlformats.org/officeDocument/2006/relationships/hyperlink" Target="https://maps.google.com/?q=16.781553,-96.034521" TargetMode="External"/><Relationship Id="rId2617" Type="http://schemas.openxmlformats.org/officeDocument/2006/relationships/hyperlink" Target="https://maps.google.com/?q=17.093715280212,-96.739405851276" TargetMode="External"/><Relationship Id="rId2824" Type="http://schemas.openxmlformats.org/officeDocument/2006/relationships/hyperlink" Target="https://maps.google.com/?q=17.280691860381,-97.37422127521" TargetMode="External"/><Relationship Id="rId65" Type="http://schemas.openxmlformats.org/officeDocument/2006/relationships/hyperlink" Target="https://maps.google.com/?q=15.70635,-96.48674" TargetMode="External"/><Relationship Id="rId1426" Type="http://schemas.openxmlformats.org/officeDocument/2006/relationships/hyperlink" Target="https://maps.google.com/?q=17.063778,-96.729971" TargetMode="External"/><Relationship Id="rId1633" Type="http://schemas.openxmlformats.org/officeDocument/2006/relationships/hyperlink" Target="https://maps.google.com/?q=16.743532,-96.745063" TargetMode="External"/><Relationship Id="rId1840" Type="http://schemas.openxmlformats.org/officeDocument/2006/relationships/hyperlink" Target="https://maps.google.com/?q=16.144807862312,-96.350117742397" TargetMode="External"/><Relationship Id="rId1700" Type="http://schemas.openxmlformats.org/officeDocument/2006/relationships/hyperlink" Target="https://maps.google.com/?q=16.524782,-96.978638" TargetMode="External"/><Relationship Id="rId3598" Type="http://schemas.openxmlformats.org/officeDocument/2006/relationships/hyperlink" Target="https://maps.google.com/?q=16.2053001,-97.524294" TargetMode="External"/><Relationship Id="rId3458" Type="http://schemas.openxmlformats.org/officeDocument/2006/relationships/hyperlink" Target="https://maps.google.com/?q=16.788659927319,-96.55248557778" TargetMode="External"/><Relationship Id="rId3665" Type="http://schemas.openxmlformats.org/officeDocument/2006/relationships/hyperlink" Target="https://maps.google.com/?q=16.2066861,-97.527876" TargetMode="External"/><Relationship Id="rId3872" Type="http://schemas.openxmlformats.org/officeDocument/2006/relationships/hyperlink" Target="https://maps.google.com/?q=17.036888592439,-96.728367404661" TargetMode="External"/><Relationship Id="rId379" Type="http://schemas.openxmlformats.org/officeDocument/2006/relationships/hyperlink" Target="https://maps.google.com/?q=17.467175226861,-97.703903961278" TargetMode="External"/><Relationship Id="rId586" Type="http://schemas.openxmlformats.org/officeDocument/2006/relationships/hyperlink" Target="https://maps.google.com/?q=17.04484877064,-96.718662772745" TargetMode="External"/><Relationship Id="rId793" Type="http://schemas.openxmlformats.org/officeDocument/2006/relationships/hyperlink" Target="https://maps.google.com/?q=17.082505126043,-96.698105486009" TargetMode="External"/><Relationship Id="rId2267" Type="http://schemas.openxmlformats.org/officeDocument/2006/relationships/hyperlink" Target="https://maps.google.com/?q=17.35225332,-96.53797558" TargetMode="External"/><Relationship Id="rId2474" Type="http://schemas.openxmlformats.org/officeDocument/2006/relationships/hyperlink" Target="https://maps.google.com/?q=16.256209,-96.322053" TargetMode="External"/><Relationship Id="rId2681" Type="http://schemas.openxmlformats.org/officeDocument/2006/relationships/hyperlink" Target="https://maps.google.com/?q=17.063566805769,-96.717186590105" TargetMode="External"/><Relationship Id="rId3318" Type="http://schemas.openxmlformats.org/officeDocument/2006/relationships/hyperlink" Target="https://maps.google.com/?q=16.785802925097,-96.56475456852" TargetMode="External"/><Relationship Id="rId3525" Type="http://schemas.openxmlformats.org/officeDocument/2006/relationships/hyperlink" Target="https://maps.google.com/?q=16.790812929034,-96.554269572862" TargetMode="External"/><Relationship Id="rId239" Type="http://schemas.openxmlformats.org/officeDocument/2006/relationships/hyperlink" Target="https://maps.google.com/?q=15.912502690672,-96.211559040333" TargetMode="External"/><Relationship Id="rId446" Type="http://schemas.openxmlformats.org/officeDocument/2006/relationships/hyperlink" Target="https://maps.google.com/?q=17.490213143017,-97.728781387731" TargetMode="External"/><Relationship Id="rId653" Type="http://schemas.openxmlformats.org/officeDocument/2006/relationships/hyperlink" Target="https://maps.google.com/?q=17.050140233488,-96.708245439053" TargetMode="External"/><Relationship Id="rId1076" Type="http://schemas.openxmlformats.org/officeDocument/2006/relationships/hyperlink" Target="https://maps.google.com/?q=17.100893,-96.751374" TargetMode="External"/><Relationship Id="rId1283" Type="http://schemas.openxmlformats.org/officeDocument/2006/relationships/hyperlink" Target="https://maps.google.com/?q=16.702968109069,-96.678440288361" TargetMode="External"/><Relationship Id="rId1490" Type="http://schemas.openxmlformats.org/officeDocument/2006/relationships/hyperlink" Target="https://maps.google.com/?q=16.99264548037,-96.754520035712" TargetMode="External"/><Relationship Id="rId2127" Type="http://schemas.openxmlformats.org/officeDocument/2006/relationships/hyperlink" Target="https://maps.google.com/?q=16.875820419357,-97.503753490908" TargetMode="External"/><Relationship Id="rId2334" Type="http://schemas.openxmlformats.org/officeDocument/2006/relationships/hyperlink" Target="https://maps.google.com/?q=17.37635253,-96.50747781" TargetMode="External"/><Relationship Id="rId3732" Type="http://schemas.openxmlformats.org/officeDocument/2006/relationships/hyperlink" Target="https://maps.google.com/?q=16.2081801,-97.527622" TargetMode="External"/><Relationship Id="rId306" Type="http://schemas.openxmlformats.org/officeDocument/2006/relationships/hyperlink" Target="https://maps.google.com/?q=16.9401349,-96.7091807" TargetMode="External"/><Relationship Id="rId860" Type="http://schemas.openxmlformats.org/officeDocument/2006/relationships/hyperlink" Target="https://maps.google.com/?q=17.09793644918,-96.713718467867" TargetMode="External"/><Relationship Id="rId1143" Type="http://schemas.openxmlformats.org/officeDocument/2006/relationships/hyperlink" Target="https://maps.google.com/?q=17.484671687409,-98.013484936176" TargetMode="External"/><Relationship Id="rId2541" Type="http://schemas.openxmlformats.org/officeDocument/2006/relationships/hyperlink" Target="https://maps.google.com/?q=16.272523,-96.307976" TargetMode="External"/><Relationship Id="rId513" Type="http://schemas.openxmlformats.org/officeDocument/2006/relationships/hyperlink" Target="https://maps.google.com/?q=17.532336046989,-97.79212286633" TargetMode="External"/><Relationship Id="rId720" Type="http://schemas.openxmlformats.org/officeDocument/2006/relationships/hyperlink" Target="https://maps.google.com/?q=17.05762408477,-96.727455278884" TargetMode="External"/><Relationship Id="rId1350" Type="http://schemas.openxmlformats.org/officeDocument/2006/relationships/hyperlink" Target="https://maps.google.com/?q=17.241222490555,-97.44794602943" TargetMode="External"/><Relationship Id="rId2401" Type="http://schemas.openxmlformats.org/officeDocument/2006/relationships/hyperlink" Target="https://maps.google.com/?q=16.249338,-96.345823" TargetMode="External"/><Relationship Id="rId1003" Type="http://schemas.openxmlformats.org/officeDocument/2006/relationships/hyperlink" Target="https://maps.google.com/?q=17.465421,-97.348635" TargetMode="External"/><Relationship Id="rId1210" Type="http://schemas.openxmlformats.org/officeDocument/2006/relationships/hyperlink" Target="https://maps.google.com/?q=17.06777415388,-96.714265850367" TargetMode="External"/><Relationship Id="rId3175" Type="http://schemas.openxmlformats.org/officeDocument/2006/relationships/hyperlink" Target="https://maps.google.com/?q=16.783922921007,-96.566566569005" TargetMode="External"/><Relationship Id="rId3382" Type="http://schemas.openxmlformats.org/officeDocument/2006/relationships/hyperlink" Target="https://maps.google.com/?q=16.786064926087,-96.559345572147" TargetMode="External"/><Relationship Id="rId2191" Type="http://schemas.openxmlformats.org/officeDocument/2006/relationships/hyperlink" Target="https://maps.google.com/?q=16.124654,-96.670632" TargetMode="External"/><Relationship Id="rId3035" Type="http://schemas.openxmlformats.org/officeDocument/2006/relationships/hyperlink" Target="https://maps.google.com/?q=15.746679,-96.54483" TargetMode="External"/><Relationship Id="rId3242" Type="http://schemas.openxmlformats.org/officeDocument/2006/relationships/hyperlink" Target="https://maps.google.com/?q=16.78528191886,-96.576397560337" TargetMode="External"/><Relationship Id="rId163" Type="http://schemas.openxmlformats.org/officeDocument/2006/relationships/hyperlink" Target="https://maps.google.com/?q=17.27135,-97.673703" TargetMode="External"/><Relationship Id="rId370" Type="http://schemas.openxmlformats.org/officeDocument/2006/relationships/hyperlink" Target="https://maps.google.com/?q=17.041248,-96.727905" TargetMode="External"/><Relationship Id="rId2051" Type="http://schemas.openxmlformats.org/officeDocument/2006/relationships/hyperlink" Target="https://maps.google.com/?q=16.78415,-96.030732" TargetMode="External"/><Relationship Id="rId3102" Type="http://schemas.openxmlformats.org/officeDocument/2006/relationships/hyperlink" Target="https://maps.google.com/?q=17.974526,-96.704118" TargetMode="External"/><Relationship Id="rId230" Type="http://schemas.openxmlformats.org/officeDocument/2006/relationships/hyperlink" Target="https://maps.google.com/?q=15.910963189788,-96.211934936031" TargetMode="External"/><Relationship Id="rId2868" Type="http://schemas.openxmlformats.org/officeDocument/2006/relationships/hyperlink" Target="https://maps.google.com/?q=17.054786758694,-96.822143482987" TargetMode="External"/><Relationship Id="rId3919" Type="http://schemas.openxmlformats.org/officeDocument/2006/relationships/hyperlink" Target="https://maps.google.com/?q=16.86189752,-94.72805194" TargetMode="External"/><Relationship Id="rId1677" Type="http://schemas.openxmlformats.org/officeDocument/2006/relationships/hyperlink" Target="https://maps.google.com/?q=16.522173,-96.978241" TargetMode="External"/><Relationship Id="rId1884" Type="http://schemas.openxmlformats.org/officeDocument/2006/relationships/hyperlink" Target="https://maps.google.com/?q=16.777758,-96.032045" TargetMode="External"/><Relationship Id="rId2728" Type="http://schemas.openxmlformats.org/officeDocument/2006/relationships/hyperlink" Target="https://maps.google.com/?q=17.062917541889,-96.704589639558" TargetMode="External"/><Relationship Id="rId2935" Type="http://schemas.openxmlformats.org/officeDocument/2006/relationships/hyperlink" Target="https://maps.google.com/?q=17.080065,-96.741592" TargetMode="External"/><Relationship Id="rId907" Type="http://schemas.openxmlformats.org/officeDocument/2006/relationships/hyperlink" Target="https://maps.google.com/?q=17.910238,-96.344916" TargetMode="External"/><Relationship Id="rId1537" Type="http://schemas.openxmlformats.org/officeDocument/2006/relationships/hyperlink" Target="https://maps.google.com/?q=17.027652,-95.921116" TargetMode="External"/><Relationship Id="rId1744" Type="http://schemas.openxmlformats.org/officeDocument/2006/relationships/hyperlink" Target="https://maps.google.com/?q=16.801208,-96.455045" TargetMode="External"/><Relationship Id="rId1951" Type="http://schemas.openxmlformats.org/officeDocument/2006/relationships/hyperlink" Target="https://maps.google.com/?q=16.780606,-96.032465" TargetMode="External"/><Relationship Id="rId36" Type="http://schemas.openxmlformats.org/officeDocument/2006/relationships/hyperlink" Target="https://maps.google.com/?q=17.511838,-97.488548" TargetMode="External"/><Relationship Id="rId1604" Type="http://schemas.openxmlformats.org/officeDocument/2006/relationships/hyperlink" Target="https://maps.google.com/?q=17.331387,-96.487875" TargetMode="External"/><Relationship Id="rId4010" Type="http://schemas.openxmlformats.org/officeDocument/2006/relationships/printerSettings" Target="../printerSettings/printerSettings2.bin"/><Relationship Id="rId1811" Type="http://schemas.openxmlformats.org/officeDocument/2006/relationships/hyperlink" Target="https://maps.google.com/?q=17.061096148946,-96.712261414832" TargetMode="External"/><Relationship Id="rId3569" Type="http://schemas.openxmlformats.org/officeDocument/2006/relationships/hyperlink" Target="https://maps.google.com/?q=16.2037871,-97.528471" TargetMode="External"/><Relationship Id="rId697" Type="http://schemas.openxmlformats.org/officeDocument/2006/relationships/hyperlink" Target="https://maps.google.com/?q=17.05272521519,-96.715532768272" TargetMode="External"/><Relationship Id="rId2378" Type="http://schemas.openxmlformats.org/officeDocument/2006/relationships/hyperlink" Target="https://maps.google.com/?q=16.232045,-96.340284" TargetMode="External"/><Relationship Id="rId3429" Type="http://schemas.openxmlformats.org/officeDocument/2006/relationships/hyperlink" Target="https://maps.google.com/?q=16.786865925888,-96.556447570994" TargetMode="External"/><Relationship Id="rId3776" Type="http://schemas.openxmlformats.org/officeDocument/2006/relationships/hyperlink" Target="https://maps.google.com/?q=16.2089611,-97.528483" TargetMode="External"/><Relationship Id="rId3983" Type="http://schemas.openxmlformats.org/officeDocument/2006/relationships/hyperlink" Target="https://maps.google.com/?q=16.89765233,-94.69581694" TargetMode="External"/><Relationship Id="rId1187" Type="http://schemas.openxmlformats.org/officeDocument/2006/relationships/hyperlink" Target="https://maps.google.com/?q=17.060448304452,-96.691753780426" TargetMode="External"/><Relationship Id="rId2585" Type="http://schemas.openxmlformats.org/officeDocument/2006/relationships/hyperlink" Target="https://maps.google.com/?q=17.090224839553,-96.736738264074" TargetMode="External"/><Relationship Id="rId2792" Type="http://schemas.openxmlformats.org/officeDocument/2006/relationships/hyperlink" Target="https://maps.google.com/?q=17.790031,-96.816264" TargetMode="External"/><Relationship Id="rId3636" Type="http://schemas.openxmlformats.org/officeDocument/2006/relationships/hyperlink" Target="https://maps.google.com/?q=16.2057211,-97.529625" TargetMode="External"/><Relationship Id="rId3843" Type="http://schemas.openxmlformats.org/officeDocument/2006/relationships/hyperlink" Target="https://maps.google.com/?q=16.634938678579,-97.578025647908" TargetMode="External"/><Relationship Id="rId557" Type="http://schemas.openxmlformats.org/officeDocument/2006/relationships/hyperlink" Target="https://maps.google.com/?q=17.071544120503,-96.715912270785" TargetMode="External"/><Relationship Id="rId764" Type="http://schemas.openxmlformats.org/officeDocument/2006/relationships/hyperlink" Target="https://maps.google.com/?q=17.067970277062,-96.736363465891" TargetMode="External"/><Relationship Id="rId971" Type="http://schemas.openxmlformats.org/officeDocument/2006/relationships/hyperlink" Target="https://maps.google.com/?q=18.041597219301,-96.75619546165" TargetMode="External"/><Relationship Id="rId1394" Type="http://schemas.openxmlformats.org/officeDocument/2006/relationships/hyperlink" Target="https://maps.google.com/?q=17.820392,-97.453995" TargetMode="External"/><Relationship Id="rId2238" Type="http://schemas.openxmlformats.org/officeDocument/2006/relationships/hyperlink" Target="https://maps.google.com/?q=17.34751792,-96.53118257" TargetMode="External"/><Relationship Id="rId2445" Type="http://schemas.openxmlformats.org/officeDocument/2006/relationships/hyperlink" Target="https://maps.google.com/?q=16.253153,-96.334034" TargetMode="External"/><Relationship Id="rId2652" Type="http://schemas.openxmlformats.org/officeDocument/2006/relationships/hyperlink" Target="https://maps.google.com/?q=16.65212,-97.33998" TargetMode="External"/><Relationship Id="rId3703" Type="http://schemas.openxmlformats.org/officeDocument/2006/relationships/hyperlink" Target="https://maps.google.com/?q=16.2074671,-97.530307" TargetMode="External"/><Relationship Id="rId3910" Type="http://schemas.openxmlformats.org/officeDocument/2006/relationships/hyperlink" Target="https://maps.google.com/?q=16.86239998,-94.73061841" TargetMode="External"/><Relationship Id="rId417" Type="http://schemas.openxmlformats.org/officeDocument/2006/relationships/hyperlink" Target="https://maps.google.com/?q=17.495519134659,-97.729023078895" TargetMode="External"/><Relationship Id="rId624" Type="http://schemas.openxmlformats.org/officeDocument/2006/relationships/hyperlink" Target="https://maps.google.com/?q=17.048041211931,-96.721285014089" TargetMode="External"/><Relationship Id="rId831" Type="http://schemas.openxmlformats.org/officeDocument/2006/relationships/hyperlink" Target="https://maps.google.com/?q=17.084785886259,-96.700188439869" TargetMode="External"/><Relationship Id="rId1047" Type="http://schemas.openxmlformats.org/officeDocument/2006/relationships/hyperlink" Target="https://maps.google.com/?q=17.331248,-96.487901" TargetMode="External"/><Relationship Id="rId1254" Type="http://schemas.openxmlformats.org/officeDocument/2006/relationships/hyperlink" Target="https://maps.google.com/?q=17.666662461313,-98.329862424606" TargetMode="External"/><Relationship Id="rId1461" Type="http://schemas.openxmlformats.org/officeDocument/2006/relationships/hyperlink" Target="https://maps.google.com/?q=16.791625,-96.674999" TargetMode="External"/><Relationship Id="rId2305" Type="http://schemas.openxmlformats.org/officeDocument/2006/relationships/hyperlink" Target="https://maps.google.com/?q=17.35752928,-96.52928028" TargetMode="External"/><Relationship Id="rId2512" Type="http://schemas.openxmlformats.org/officeDocument/2006/relationships/hyperlink" Target="https://maps.google.com/?q=16.267742,-96.309369" TargetMode="External"/><Relationship Id="rId1114" Type="http://schemas.openxmlformats.org/officeDocument/2006/relationships/hyperlink" Target="https://maps.google.com/?q=18.539171697093,-96.607294509891" TargetMode="External"/><Relationship Id="rId1321" Type="http://schemas.openxmlformats.org/officeDocument/2006/relationships/hyperlink" Target="https://maps.google.com/?q=16.360476167484,-95.015925927578" TargetMode="External"/><Relationship Id="rId3079" Type="http://schemas.openxmlformats.org/officeDocument/2006/relationships/hyperlink" Target="https://maps.google.com/?q=16.308377,-97.558615" TargetMode="External"/><Relationship Id="rId3286" Type="http://schemas.openxmlformats.org/officeDocument/2006/relationships/hyperlink" Target="https://maps.google.com/?q=16.785610923972,-96.564303565271" TargetMode="External"/><Relationship Id="rId3493" Type="http://schemas.openxmlformats.org/officeDocument/2006/relationships/hyperlink" Target="https://maps.google.com/?q=16.789908923282,-96.553620571762" TargetMode="External"/><Relationship Id="rId2095" Type="http://schemas.openxmlformats.org/officeDocument/2006/relationships/hyperlink" Target="https://maps.google.com/?q=16.927302316228,-96.601681852449" TargetMode="External"/><Relationship Id="rId3146" Type="http://schemas.openxmlformats.org/officeDocument/2006/relationships/hyperlink" Target="https://maps.google.com/?q=16.780421220784,-96.577082641623" TargetMode="External"/><Relationship Id="rId3353" Type="http://schemas.openxmlformats.org/officeDocument/2006/relationships/hyperlink" Target="https://maps.google.com/?q=16.785929924166,-96.573410561504" TargetMode="External"/><Relationship Id="rId274" Type="http://schemas.openxmlformats.org/officeDocument/2006/relationships/hyperlink" Target="https://maps.google.com/?q=17.511838,-97.488548" TargetMode="External"/><Relationship Id="rId481" Type="http://schemas.openxmlformats.org/officeDocument/2006/relationships/hyperlink" Target="https://maps.google.com/?q=17.532782131083,-97.718925768537" TargetMode="External"/><Relationship Id="rId2162" Type="http://schemas.openxmlformats.org/officeDocument/2006/relationships/hyperlink" Target="https://maps.google.com/?q=17.04981669,-96.63776493" TargetMode="External"/><Relationship Id="rId3006" Type="http://schemas.openxmlformats.org/officeDocument/2006/relationships/hyperlink" Target="https://maps.google.com/?q=17.962116074827,-96.128025085754" TargetMode="External"/><Relationship Id="rId3560" Type="http://schemas.openxmlformats.org/officeDocument/2006/relationships/hyperlink" Target="https://maps.google.com/?q=16.793119925957,-96.551303576279" TargetMode="External"/><Relationship Id="rId134" Type="http://schemas.openxmlformats.org/officeDocument/2006/relationships/hyperlink" Target="https://maps.google.com/?q=17.268063,-97.674169" TargetMode="External"/><Relationship Id="rId3213" Type="http://schemas.openxmlformats.org/officeDocument/2006/relationships/hyperlink" Target="https://maps.google.com/?q=16.784958921877,-96.5758125674" TargetMode="External"/><Relationship Id="rId3420" Type="http://schemas.openxmlformats.org/officeDocument/2006/relationships/hyperlink" Target="https://maps.google.com/?q=16.786624924996,-96.560064569828" TargetMode="External"/><Relationship Id="rId341" Type="http://schemas.openxmlformats.org/officeDocument/2006/relationships/hyperlink" Target="https://maps.google.com/?q=16.986121654041,-97.656841271692" TargetMode="External"/><Relationship Id="rId2022" Type="http://schemas.openxmlformats.org/officeDocument/2006/relationships/hyperlink" Target="https://maps.google.com/?q=16.78323,-96.035384" TargetMode="External"/><Relationship Id="rId2979" Type="http://schemas.openxmlformats.org/officeDocument/2006/relationships/hyperlink" Target="https://maps.google.com/?q=17.0606927018,-96.705665075" TargetMode="External"/><Relationship Id="rId201" Type="http://schemas.openxmlformats.org/officeDocument/2006/relationships/hyperlink" Target="https://maps.google.com/?q=15.905980524763,-96.220543128515" TargetMode="External"/><Relationship Id="rId1788" Type="http://schemas.openxmlformats.org/officeDocument/2006/relationships/hyperlink" Target="https://maps.google.com/?q=17.98578,-96.83241" TargetMode="External"/><Relationship Id="rId1995" Type="http://schemas.openxmlformats.org/officeDocument/2006/relationships/hyperlink" Target="https://maps.google.com/?q=16.782337,-96.034758" TargetMode="External"/><Relationship Id="rId2839" Type="http://schemas.openxmlformats.org/officeDocument/2006/relationships/hyperlink" Target="https://maps.google.com/?q=17.285192255065,-97.373605150514" TargetMode="External"/><Relationship Id="rId1648" Type="http://schemas.openxmlformats.org/officeDocument/2006/relationships/hyperlink" Target="https://maps.google.com/?q=16.515286,-96.977716" TargetMode="External"/><Relationship Id="rId1508" Type="http://schemas.openxmlformats.org/officeDocument/2006/relationships/hyperlink" Target="https://maps.google.com/?q=16.279058,-97.820241" TargetMode="External"/><Relationship Id="rId1855" Type="http://schemas.openxmlformats.org/officeDocument/2006/relationships/hyperlink" Target="https://maps.google.com/?q=16.069462203006,-96.301259993703" TargetMode="External"/><Relationship Id="rId2906" Type="http://schemas.openxmlformats.org/officeDocument/2006/relationships/hyperlink" Target="https://maps.google.com/?q=16.665125,-97.8553" TargetMode="External"/><Relationship Id="rId3070" Type="http://schemas.openxmlformats.org/officeDocument/2006/relationships/hyperlink" Target="https://maps.google.com/?q=17.032485,-97.629122" TargetMode="External"/><Relationship Id="rId1715" Type="http://schemas.openxmlformats.org/officeDocument/2006/relationships/hyperlink" Target="https://maps.google.com/?q=16.527033,-96.977086" TargetMode="External"/><Relationship Id="rId1922" Type="http://schemas.openxmlformats.org/officeDocument/2006/relationships/hyperlink" Target="https://maps.google.com/?q=16.779343,-96.038068" TargetMode="External"/><Relationship Id="rId3887" Type="http://schemas.openxmlformats.org/officeDocument/2006/relationships/hyperlink" Target="https://maps.google.com/?q=16.85715888,-94.741306" TargetMode="External"/><Relationship Id="rId2489" Type="http://schemas.openxmlformats.org/officeDocument/2006/relationships/hyperlink" Target="https://maps.google.com/?q=16.258126,-96.316163" TargetMode="External"/><Relationship Id="rId2696" Type="http://schemas.openxmlformats.org/officeDocument/2006/relationships/hyperlink" Target="https://maps.google.com/?q=17.069246938724,-96.71682668416" TargetMode="External"/><Relationship Id="rId3747" Type="http://schemas.openxmlformats.org/officeDocument/2006/relationships/hyperlink" Target="https://maps.google.com/?q=16.2084471,-97.532409" TargetMode="External"/><Relationship Id="rId3954" Type="http://schemas.openxmlformats.org/officeDocument/2006/relationships/hyperlink" Target="https://maps.google.com/?q=16.88455424,-94.708314" TargetMode="External"/><Relationship Id="rId668" Type="http://schemas.openxmlformats.org/officeDocument/2006/relationships/hyperlink" Target="https://maps.google.com/?q=17.0508139,-96.707112" TargetMode="External"/><Relationship Id="rId875" Type="http://schemas.openxmlformats.org/officeDocument/2006/relationships/hyperlink" Target="https://maps.google.com/?q=17.118166427845,-96.76930505022" TargetMode="External"/><Relationship Id="rId1298" Type="http://schemas.openxmlformats.org/officeDocument/2006/relationships/hyperlink" Target="https://maps.google.com/?q=18.186104872955,-96.626005052744" TargetMode="External"/><Relationship Id="rId2349" Type="http://schemas.openxmlformats.org/officeDocument/2006/relationships/hyperlink" Target="https://maps.google.com/?q=17.37933595,-96.50408872" TargetMode="External"/><Relationship Id="rId2556" Type="http://schemas.openxmlformats.org/officeDocument/2006/relationships/hyperlink" Target="https://maps.google.com/?q=17.0868173086,-96.737727209" TargetMode="External"/><Relationship Id="rId2763" Type="http://schemas.openxmlformats.org/officeDocument/2006/relationships/hyperlink" Target="https://maps.google.com/?q=17.786107,-96.803789" TargetMode="External"/><Relationship Id="rId2970" Type="http://schemas.openxmlformats.org/officeDocument/2006/relationships/hyperlink" Target="https://maps.google.com/?q=17.799725721649,-96.962770376193" TargetMode="External"/><Relationship Id="rId3607" Type="http://schemas.openxmlformats.org/officeDocument/2006/relationships/hyperlink" Target="https://maps.google.com/?q=16.2053681,-97.528986" TargetMode="External"/><Relationship Id="rId3814" Type="http://schemas.openxmlformats.org/officeDocument/2006/relationships/hyperlink" Target="https://maps.google.com/?q=16.2109921,-97.529821" TargetMode="External"/><Relationship Id="rId528" Type="http://schemas.openxmlformats.org/officeDocument/2006/relationships/hyperlink" Target="https://maps.google.com/?q=17.126349585836,-96.767935762613" TargetMode="External"/><Relationship Id="rId735" Type="http://schemas.openxmlformats.org/officeDocument/2006/relationships/hyperlink" Target="https://maps.google.com/?q=17.06011787801,-96.729950851943" TargetMode="External"/><Relationship Id="rId942" Type="http://schemas.openxmlformats.org/officeDocument/2006/relationships/hyperlink" Target="https://maps.google.com/?q=16.475453745538,-98.010042969984" TargetMode="External"/><Relationship Id="rId1158" Type="http://schemas.openxmlformats.org/officeDocument/2006/relationships/hyperlink" Target="https://maps.google.com/?q=17.712105744587,-96.34493484425" TargetMode="External"/><Relationship Id="rId1365" Type="http://schemas.openxmlformats.org/officeDocument/2006/relationships/hyperlink" Target="https://maps.google.com/?q=17.005940727003,-96.157471445438" TargetMode="External"/><Relationship Id="rId1572" Type="http://schemas.openxmlformats.org/officeDocument/2006/relationships/hyperlink" Target="https://maps.google.com/?q=17.059046314,-96.7054021" TargetMode="External"/><Relationship Id="rId2209" Type="http://schemas.openxmlformats.org/officeDocument/2006/relationships/hyperlink" Target="https://maps.google.com/?q=16.64362621605,-96.56846589724" TargetMode="External"/><Relationship Id="rId2416" Type="http://schemas.openxmlformats.org/officeDocument/2006/relationships/hyperlink" Target="https://maps.google.com/?q=16.249997,-96.339307" TargetMode="External"/><Relationship Id="rId2623" Type="http://schemas.openxmlformats.org/officeDocument/2006/relationships/hyperlink" Target="https://maps.google.com/?q=17.060908250044,-96.70472235141" TargetMode="External"/><Relationship Id="rId1018" Type="http://schemas.openxmlformats.org/officeDocument/2006/relationships/hyperlink" Target="https://maps.google.com/?q=16.486518721114,-97.86780667742" TargetMode="External"/><Relationship Id="rId1225" Type="http://schemas.openxmlformats.org/officeDocument/2006/relationships/hyperlink" Target="https://maps.google.com/?q=16.741292081027,-96.835795449074" TargetMode="External"/><Relationship Id="rId1432" Type="http://schemas.openxmlformats.org/officeDocument/2006/relationships/hyperlink" Target="https://maps.google.com/?q=17.361766,-95.922254" TargetMode="External"/><Relationship Id="rId2830" Type="http://schemas.openxmlformats.org/officeDocument/2006/relationships/hyperlink" Target="https://maps.google.com/?q=17.282794541583,-97.361891160366" TargetMode="External"/><Relationship Id="rId71" Type="http://schemas.openxmlformats.org/officeDocument/2006/relationships/hyperlink" Target="https://maps.google.com/?q=16.912623,-96.077913" TargetMode="External"/><Relationship Id="rId802" Type="http://schemas.openxmlformats.org/officeDocument/2006/relationships/hyperlink" Target="https://maps.google.com/?q=17.083120219309,-96.696508626793" TargetMode="External"/><Relationship Id="rId3397" Type="http://schemas.openxmlformats.org/officeDocument/2006/relationships/hyperlink" Target="https://maps.google.com/?q=16.786167928805,-96.560520568058" TargetMode="External"/><Relationship Id="rId178" Type="http://schemas.openxmlformats.org/officeDocument/2006/relationships/hyperlink" Target="https://maps.google.com/?q=17.275564,-97.6715" TargetMode="External"/><Relationship Id="rId3257" Type="http://schemas.openxmlformats.org/officeDocument/2006/relationships/hyperlink" Target="https://maps.google.com/?q=16.785370919816,-96.572987568373" TargetMode="External"/><Relationship Id="rId3464" Type="http://schemas.openxmlformats.org/officeDocument/2006/relationships/hyperlink" Target="https://maps.google.com/?q=16.788739929438,-96.551604572953" TargetMode="External"/><Relationship Id="rId3671" Type="http://schemas.openxmlformats.org/officeDocument/2006/relationships/hyperlink" Target="https://maps.google.com/?q=16.2069281,-97.531636" TargetMode="External"/><Relationship Id="rId385" Type="http://schemas.openxmlformats.org/officeDocument/2006/relationships/hyperlink" Target="https://maps.google.com/?q=17.470624839312,-97.709307247909" TargetMode="External"/><Relationship Id="rId592" Type="http://schemas.openxmlformats.org/officeDocument/2006/relationships/hyperlink" Target="https://maps.google.com/?q=17.045647596375,-96.720551563622" TargetMode="External"/><Relationship Id="rId2066" Type="http://schemas.openxmlformats.org/officeDocument/2006/relationships/hyperlink" Target="https://maps.google.com/?q=16.784759,-96.030815" TargetMode="External"/><Relationship Id="rId2273" Type="http://schemas.openxmlformats.org/officeDocument/2006/relationships/hyperlink" Target="https://maps.google.com/?q=17.35278092,-96.5287608" TargetMode="External"/><Relationship Id="rId2480" Type="http://schemas.openxmlformats.org/officeDocument/2006/relationships/hyperlink" Target="https://maps.google.com/?q=16.257316,-96.316365" TargetMode="External"/><Relationship Id="rId3117" Type="http://schemas.openxmlformats.org/officeDocument/2006/relationships/hyperlink" Target="https://maps.google.com/?q=17.975512,-96.705766" TargetMode="External"/><Relationship Id="rId3324" Type="http://schemas.openxmlformats.org/officeDocument/2006/relationships/hyperlink" Target="https://maps.google.com/?q=16.785817919826,-96.573133561839" TargetMode="External"/><Relationship Id="rId3531" Type="http://schemas.openxmlformats.org/officeDocument/2006/relationships/hyperlink" Target="https://maps.google.com/?q=16.790882923987,-96.553715573737" TargetMode="External"/><Relationship Id="rId245" Type="http://schemas.openxmlformats.org/officeDocument/2006/relationships/hyperlink" Target="https://maps.google.com/?q=17.338123,-96.114984" TargetMode="External"/><Relationship Id="rId452" Type="http://schemas.openxmlformats.org/officeDocument/2006/relationships/hyperlink" Target="https://maps.google.com/?q=17.493585823273,-97.725368806313" TargetMode="External"/><Relationship Id="rId1082" Type="http://schemas.openxmlformats.org/officeDocument/2006/relationships/hyperlink" Target="https://maps.google.com/?q=17.112426,-96.756624" TargetMode="External"/><Relationship Id="rId2133" Type="http://schemas.openxmlformats.org/officeDocument/2006/relationships/hyperlink" Target="https://maps.google.com/?q=16.87703645751,-97.505686795413" TargetMode="External"/><Relationship Id="rId2340" Type="http://schemas.openxmlformats.org/officeDocument/2006/relationships/hyperlink" Target="https://maps.google.com/?q=17.37887652,-96.50707679" TargetMode="External"/><Relationship Id="rId105" Type="http://schemas.openxmlformats.org/officeDocument/2006/relationships/hyperlink" Target="https://maps.google.com/?q=17.844574201973,-96.888819372676" TargetMode="External"/><Relationship Id="rId312" Type="http://schemas.openxmlformats.org/officeDocument/2006/relationships/hyperlink" Target="https://maps.google.com/?q=16.941816,-96.711005" TargetMode="External"/><Relationship Id="rId2200" Type="http://schemas.openxmlformats.org/officeDocument/2006/relationships/hyperlink" Target="https://maps.google.com/?q=16.637214428618,-96.58711637871" TargetMode="External"/><Relationship Id="rId1899" Type="http://schemas.openxmlformats.org/officeDocument/2006/relationships/hyperlink" Target="https://maps.google.com/?q=16.778649,-96.033456" TargetMode="External"/><Relationship Id="rId1759" Type="http://schemas.openxmlformats.org/officeDocument/2006/relationships/hyperlink" Target="https://maps.google.com/?q=17.065868,-96.6937582" TargetMode="External"/><Relationship Id="rId1966" Type="http://schemas.openxmlformats.org/officeDocument/2006/relationships/hyperlink" Target="https://maps.google.com/?q=16.781203,-96.032711" TargetMode="External"/><Relationship Id="rId3181" Type="http://schemas.openxmlformats.org/officeDocument/2006/relationships/hyperlink" Target="https://maps.google.com/?q=16.784224926313,-96.569560568948" TargetMode="External"/><Relationship Id="rId1619" Type="http://schemas.openxmlformats.org/officeDocument/2006/relationships/hyperlink" Target="https://maps.google.com/?q=17.770481,-96.33624" TargetMode="External"/><Relationship Id="rId1826" Type="http://schemas.openxmlformats.org/officeDocument/2006/relationships/hyperlink" Target="https://maps.google.com/?q=17.021525,-96.717177" TargetMode="External"/><Relationship Id="rId3041" Type="http://schemas.openxmlformats.org/officeDocument/2006/relationships/hyperlink" Target="https://maps.google.com/?q=16.459438,-97.953529" TargetMode="External"/><Relationship Id="rId3998" Type="http://schemas.openxmlformats.org/officeDocument/2006/relationships/hyperlink" Target="https://maps.google.com/?q=16.90087364,-94.69310493" TargetMode="External"/><Relationship Id="rId3858" Type="http://schemas.openxmlformats.org/officeDocument/2006/relationships/hyperlink" Target="https://maps.google.com/?q=17.028981104434,-96.710785119855" TargetMode="External"/><Relationship Id="rId779" Type="http://schemas.openxmlformats.org/officeDocument/2006/relationships/hyperlink" Target="https://maps.google.com/?q=17.081231905668,-96.716480534092" TargetMode="External"/><Relationship Id="rId986" Type="http://schemas.openxmlformats.org/officeDocument/2006/relationships/hyperlink" Target="https://maps.google.com/?q=17.46158,-97.348614" TargetMode="External"/><Relationship Id="rId2667" Type="http://schemas.openxmlformats.org/officeDocument/2006/relationships/hyperlink" Target="https://maps.google.com/?q=17.061100113518,-96.713628878221" TargetMode="External"/><Relationship Id="rId3718" Type="http://schemas.openxmlformats.org/officeDocument/2006/relationships/hyperlink" Target="https://maps.google.com/?q=16.20785,-97.528123" TargetMode="External"/><Relationship Id="rId639" Type="http://schemas.openxmlformats.org/officeDocument/2006/relationships/hyperlink" Target="https://maps.google.com/?q=17.049213846668,-96.727291981712" TargetMode="External"/><Relationship Id="rId1269" Type="http://schemas.openxmlformats.org/officeDocument/2006/relationships/hyperlink" Target="https://maps.google.com/?q=17.550423072164,-96.221903599861" TargetMode="External"/><Relationship Id="rId1476" Type="http://schemas.openxmlformats.org/officeDocument/2006/relationships/hyperlink" Target="https://maps.google.com/?q=17.511838,-97.488548" TargetMode="External"/><Relationship Id="rId2874" Type="http://schemas.openxmlformats.org/officeDocument/2006/relationships/hyperlink" Target="https://maps.google.com/?q=17.05596920894,-96.821274732728" TargetMode="External"/><Relationship Id="rId3925" Type="http://schemas.openxmlformats.org/officeDocument/2006/relationships/hyperlink" Target="https://maps.google.com/?q=16.86570138,-94.72702607" TargetMode="External"/><Relationship Id="rId846" Type="http://schemas.openxmlformats.org/officeDocument/2006/relationships/hyperlink" Target="https://maps.google.com/?q=17.085744457383,-96.697059455804" TargetMode="External"/><Relationship Id="rId1129" Type="http://schemas.openxmlformats.org/officeDocument/2006/relationships/hyperlink" Target="https://maps.google.com/?q=17.068612,-96.730753" TargetMode="External"/><Relationship Id="rId1683" Type="http://schemas.openxmlformats.org/officeDocument/2006/relationships/hyperlink" Target="https://maps.google.com/?q=16.523441,-96.978211" TargetMode="External"/><Relationship Id="rId1890" Type="http://schemas.openxmlformats.org/officeDocument/2006/relationships/hyperlink" Target="https://maps.google.com/?q=16.778206,-96.032395" TargetMode="External"/><Relationship Id="rId2527" Type="http://schemas.openxmlformats.org/officeDocument/2006/relationships/hyperlink" Target="https://maps.google.com/?q=16.271105,-96.309915" TargetMode="External"/><Relationship Id="rId2734" Type="http://schemas.openxmlformats.org/officeDocument/2006/relationships/hyperlink" Target="https://maps.google.com/?q=17.049216,-96.727602" TargetMode="External"/><Relationship Id="rId2941" Type="http://schemas.openxmlformats.org/officeDocument/2006/relationships/hyperlink" Target="https://maps.google.com/?q=17.062934462272,-96.724290744302" TargetMode="External"/><Relationship Id="rId706" Type="http://schemas.openxmlformats.org/officeDocument/2006/relationships/hyperlink" Target="https://maps.google.com/?q=17.053331254447,-96.713090404849" TargetMode="External"/><Relationship Id="rId913" Type="http://schemas.openxmlformats.org/officeDocument/2006/relationships/hyperlink" Target="https://maps.google.com/?q=17.872954,-97.379131" TargetMode="External"/><Relationship Id="rId1336" Type="http://schemas.openxmlformats.org/officeDocument/2006/relationships/hyperlink" Target="https://maps.google.com/?q=17.728056601102,-97.97753391898" TargetMode="External"/><Relationship Id="rId1543" Type="http://schemas.openxmlformats.org/officeDocument/2006/relationships/hyperlink" Target="https://maps.google.com/?q=17.422855,-97.313354" TargetMode="External"/><Relationship Id="rId1750" Type="http://schemas.openxmlformats.org/officeDocument/2006/relationships/hyperlink" Target="https://maps.google.com/?q=16.802299,-96.452743" TargetMode="External"/><Relationship Id="rId2801" Type="http://schemas.openxmlformats.org/officeDocument/2006/relationships/hyperlink" Target="https://maps.google.com/?q=17.792865,-96.817644" TargetMode="External"/><Relationship Id="rId42" Type="http://schemas.openxmlformats.org/officeDocument/2006/relationships/hyperlink" Target="https://maps.google.com/?q=17.0820483,-96.7181727" TargetMode="External"/><Relationship Id="rId1403" Type="http://schemas.openxmlformats.org/officeDocument/2006/relationships/hyperlink" Target="https://maps.google.com/?q=17.429745787413,-97.58094924785" TargetMode="External"/><Relationship Id="rId1610" Type="http://schemas.openxmlformats.org/officeDocument/2006/relationships/hyperlink" Target="https://maps.google.com/?q=16.404576918343,-97.866668240765" TargetMode="External"/><Relationship Id="rId3368" Type="http://schemas.openxmlformats.org/officeDocument/2006/relationships/hyperlink" Target="https://maps.google.com/?q=16.785986925434,-96.557802569956" TargetMode="External"/><Relationship Id="rId3575" Type="http://schemas.openxmlformats.org/officeDocument/2006/relationships/hyperlink" Target="https://maps.google.com/?q=16.2046801,-97.526849" TargetMode="External"/><Relationship Id="rId3782" Type="http://schemas.openxmlformats.org/officeDocument/2006/relationships/hyperlink" Target="https://maps.google.com/?q=16.2090191,-97.530015" TargetMode="External"/><Relationship Id="rId289" Type="http://schemas.openxmlformats.org/officeDocument/2006/relationships/hyperlink" Target="https://maps.google.com/?q=17.468339,-97.572212" TargetMode="External"/><Relationship Id="rId496" Type="http://schemas.openxmlformats.org/officeDocument/2006/relationships/hyperlink" Target="https://maps.google.com/?q=17.528705195506,-97.791642906746" TargetMode="External"/><Relationship Id="rId2177" Type="http://schemas.openxmlformats.org/officeDocument/2006/relationships/hyperlink" Target="https://maps.google.com/?q=17.05060196,-96.63817088" TargetMode="External"/><Relationship Id="rId2384" Type="http://schemas.openxmlformats.org/officeDocument/2006/relationships/hyperlink" Target="https://maps.google.com/?q=16.247176,-96.346082" TargetMode="External"/><Relationship Id="rId2591" Type="http://schemas.openxmlformats.org/officeDocument/2006/relationships/hyperlink" Target="https://maps.google.com/?q=17.0909617851,-96.73644132067" TargetMode="External"/><Relationship Id="rId3228" Type="http://schemas.openxmlformats.org/officeDocument/2006/relationships/hyperlink" Target="https://maps.google.com/?q=16.785113923982,-96.575926565633" TargetMode="External"/><Relationship Id="rId3435" Type="http://schemas.openxmlformats.org/officeDocument/2006/relationships/hyperlink" Target="https://maps.google.com/?q=16.787337927315,-96.556008567635" TargetMode="External"/><Relationship Id="rId3642" Type="http://schemas.openxmlformats.org/officeDocument/2006/relationships/hyperlink" Target="https://maps.google.com/?q=16.2058531,-97.526804" TargetMode="External"/><Relationship Id="rId149" Type="http://schemas.openxmlformats.org/officeDocument/2006/relationships/hyperlink" Target="https://maps.google.com/?q=17.269915,-97.674024" TargetMode="External"/><Relationship Id="rId356" Type="http://schemas.openxmlformats.org/officeDocument/2006/relationships/hyperlink" Target="https://maps.google.com/?q=17.019306893966,-97.66010462375" TargetMode="External"/><Relationship Id="rId563" Type="http://schemas.openxmlformats.org/officeDocument/2006/relationships/hyperlink" Target="https://maps.google.com/?q=17.035526316412,-96.714971478778" TargetMode="External"/><Relationship Id="rId770" Type="http://schemas.openxmlformats.org/officeDocument/2006/relationships/hyperlink" Target="https://maps.google.com/?q=17.072981365895,-96.738980737223" TargetMode="External"/><Relationship Id="rId1193" Type="http://schemas.openxmlformats.org/officeDocument/2006/relationships/hyperlink" Target="https://maps.google.com/?q=17.2704,-96.8899" TargetMode="External"/><Relationship Id="rId2037" Type="http://schemas.openxmlformats.org/officeDocument/2006/relationships/hyperlink" Target="https://maps.google.com/?q=16.783637,-96.031632" TargetMode="External"/><Relationship Id="rId2244" Type="http://schemas.openxmlformats.org/officeDocument/2006/relationships/hyperlink" Target="https://maps.google.com/?q=17.34908507,-96.53008941" TargetMode="External"/><Relationship Id="rId2451" Type="http://schemas.openxmlformats.org/officeDocument/2006/relationships/hyperlink" Target="https://maps.google.com/?q=16.253813,-96.328361" TargetMode="External"/><Relationship Id="rId216" Type="http://schemas.openxmlformats.org/officeDocument/2006/relationships/hyperlink" Target="https://maps.google.com/?q=15.908576553741,-96.219452814787" TargetMode="External"/><Relationship Id="rId423" Type="http://schemas.openxmlformats.org/officeDocument/2006/relationships/hyperlink" Target="https://maps.google.com/?q=17.501524764461,-97.730882845401" TargetMode="External"/><Relationship Id="rId1053" Type="http://schemas.openxmlformats.org/officeDocument/2006/relationships/hyperlink" Target="https://maps.google.com/?q=17.511838,-97.488548" TargetMode="External"/><Relationship Id="rId1260" Type="http://schemas.openxmlformats.org/officeDocument/2006/relationships/hyperlink" Target="https://maps.google.com/?q=17.863894105788,-98.286223652779" TargetMode="External"/><Relationship Id="rId2104" Type="http://schemas.openxmlformats.org/officeDocument/2006/relationships/hyperlink" Target="https://maps.google.com/?q=16.928719299245,-96.607616881998" TargetMode="External"/><Relationship Id="rId3502" Type="http://schemas.openxmlformats.org/officeDocument/2006/relationships/hyperlink" Target="https://maps.google.com/?q=16.790104928994,-96.553624577674" TargetMode="External"/><Relationship Id="rId630" Type="http://schemas.openxmlformats.org/officeDocument/2006/relationships/hyperlink" Target="https://maps.google.com/?q=17.048568733776,-96.716834720226" TargetMode="External"/><Relationship Id="rId2311" Type="http://schemas.openxmlformats.org/officeDocument/2006/relationships/hyperlink" Target="https://maps.google.com/?q=17.35992852,-96.52827934" TargetMode="External"/><Relationship Id="rId1120" Type="http://schemas.openxmlformats.org/officeDocument/2006/relationships/hyperlink" Target="https://maps.google.com/?q=17.065868,-96.6937582" TargetMode="External"/><Relationship Id="rId1937" Type="http://schemas.openxmlformats.org/officeDocument/2006/relationships/hyperlink" Target="https://maps.google.com/?q=16.780165,-96.032716" TargetMode="External"/><Relationship Id="rId3085" Type="http://schemas.openxmlformats.org/officeDocument/2006/relationships/hyperlink" Target="https://maps.google.com/?q=15.967474,-96.707769" TargetMode="External"/><Relationship Id="rId3292" Type="http://schemas.openxmlformats.org/officeDocument/2006/relationships/hyperlink" Target="https://maps.google.com/?q=16.785642926581,-96.565116571562" TargetMode="External"/><Relationship Id="rId3152" Type="http://schemas.openxmlformats.org/officeDocument/2006/relationships/hyperlink" Target="https://maps.google.com/?q=16.783227918899,-96.567509564179" TargetMode="External"/><Relationship Id="rId280" Type="http://schemas.openxmlformats.org/officeDocument/2006/relationships/hyperlink" Target="https://maps.google.com/?q=16.298282,-96.772418" TargetMode="External"/><Relationship Id="rId3012" Type="http://schemas.openxmlformats.org/officeDocument/2006/relationships/hyperlink" Target="https://maps.google.com/?q=17.963577636312,-96.125797721009" TargetMode="External"/><Relationship Id="rId140" Type="http://schemas.openxmlformats.org/officeDocument/2006/relationships/hyperlink" Target="https://maps.google.com/?q=17.268811,-97.673844" TargetMode="External"/><Relationship Id="rId3969" Type="http://schemas.openxmlformats.org/officeDocument/2006/relationships/hyperlink" Target="https://maps.google.com/?q=16.89145854,-94.70281973" TargetMode="External"/><Relationship Id="rId6" Type="http://schemas.openxmlformats.org/officeDocument/2006/relationships/hyperlink" Target="https://maps.google.com/?q=16.372913241266,-98.398081251016" TargetMode="External"/><Relationship Id="rId2778" Type="http://schemas.openxmlformats.org/officeDocument/2006/relationships/hyperlink" Target="https://maps.google.com/?q=17.788336,-96.811673" TargetMode="External"/><Relationship Id="rId2985" Type="http://schemas.openxmlformats.org/officeDocument/2006/relationships/hyperlink" Target="https://maps.google.com/?q=17.554505920735,-97.812054670552" TargetMode="External"/><Relationship Id="rId3829" Type="http://schemas.openxmlformats.org/officeDocument/2006/relationships/hyperlink" Target="https://maps.google.com/?q=15.81758963222,-96.051172229262" TargetMode="External"/><Relationship Id="rId957" Type="http://schemas.openxmlformats.org/officeDocument/2006/relationships/hyperlink" Target="https://maps.google.com/?q=16.335379933544,-97.839825160742" TargetMode="External"/><Relationship Id="rId1587" Type="http://schemas.openxmlformats.org/officeDocument/2006/relationships/hyperlink" Target="https://maps.google.com/?q=17.0271027,-96.7120215" TargetMode="External"/><Relationship Id="rId1794" Type="http://schemas.openxmlformats.org/officeDocument/2006/relationships/hyperlink" Target="https://maps.google.com/?q=17.98738,-96.83118" TargetMode="External"/><Relationship Id="rId2638" Type="http://schemas.openxmlformats.org/officeDocument/2006/relationships/hyperlink" Target="https://maps.google.com/?q=16.684485408245,-97.00918140741" TargetMode="External"/><Relationship Id="rId2845" Type="http://schemas.openxmlformats.org/officeDocument/2006/relationships/hyperlink" Target="https://maps.google.com/?q=17.286322325534,-97.366911697918" TargetMode="External"/><Relationship Id="rId86" Type="http://schemas.openxmlformats.org/officeDocument/2006/relationships/hyperlink" Target="https://maps.google.com/?q=17.0146675,-96.7496224" TargetMode="External"/><Relationship Id="rId817" Type="http://schemas.openxmlformats.org/officeDocument/2006/relationships/hyperlink" Target="https://maps.google.com/?q=17.083711061565,-96.694463372001" TargetMode="External"/><Relationship Id="rId1447" Type="http://schemas.openxmlformats.org/officeDocument/2006/relationships/hyperlink" Target="https://maps.google.com/?q=17.267449,-97.680485" TargetMode="External"/><Relationship Id="rId1654" Type="http://schemas.openxmlformats.org/officeDocument/2006/relationships/hyperlink" Target="https://maps.google.com/?q=16.516611,-96.977393" TargetMode="External"/><Relationship Id="rId1861" Type="http://schemas.openxmlformats.org/officeDocument/2006/relationships/hyperlink" Target="https://maps.google.com/?q=16.070084100518,-96.304597117436" TargetMode="External"/><Relationship Id="rId2705" Type="http://schemas.openxmlformats.org/officeDocument/2006/relationships/hyperlink" Target="https://maps.google.com/?q=17.076237716219,-96.714868671579" TargetMode="External"/><Relationship Id="rId2912" Type="http://schemas.openxmlformats.org/officeDocument/2006/relationships/hyperlink" Target="https://maps.google.com/?q=16.997436,-97.941172" TargetMode="External"/><Relationship Id="rId1307" Type="http://schemas.openxmlformats.org/officeDocument/2006/relationships/hyperlink" Target="https://maps.google.com/?q=16.294252001158,-97.491363910381" TargetMode="External"/><Relationship Id="rId1514" Type="http://schemas.openxmlformats.org/officeDocument/2006/relationships/hyperlink" Target="https://maps.google.com/?q=16.564244,-96.731829" TargetMode="External"/><Relationship Id="rId1721" Type="http://schemas.openxmlformats.org/officeDocument/2006/relationships/hyperlink" Target="https://maps.google.com/?q=16.795871,-96.462458" TargetMode="External"/><Relationship Id="rId13" Type="http://schemas.openxmlformats.org/officeDocument/2006/relationships/hyperlink" Target="https://maps.google.com/?q=16.237076,-97.292352" TargetMode="External"/><Relationship Id="rId3479" Type="http://schemas.openxmlformats.org/officeDocument/2006/relationships/hyperlink" Target="https://maps.google.com/?q=16.789344924867,-96.553703573635" TargetMode="External"/><Relationship Id="rId3686" Type="http://schemas.openxmlformats.org/officeDocument/2006/relationships/hyperlink" Target="https://maps.google.com/?q=16.2071021,-97.530124" TargetMode="External"/><Relationship Id="rId2288" Type="http://schemas.openxmlformats.org/officeDocument/2006/relationships/hyperlink" Target="https://maps.google.com/?q=17.35521683,-96.53218931" TargetMode="External"/><Relationship Id="rId2495" Type="http://schemas.openxmlformats.org/officeDocument/2006/relationships/hyperlink" Target="https://maps.google.com/?q=16.260951,-96.312955" TargetMode="External"/><Relationship Id="rId3339" Type="http://schemas.openxmlformats.org/officeDocument/2006/relationships/hyperlink" Target="https://maps.google.com/?q=16.785902918049,-96.573637566212" TargetMode="External"/><Relationship Id="rId3893" Type="http://schemas.openxmlformats.org/officeDocument/2006/relationships/hyperlink" Target="https://maps.google.com/?q=16.85799667,-94.73841401" TargetMode="External"/><Relationship Id="rId467" Type="http://schemas.openxmlformats.org/officeDocument/2006/relationships/hyperlink" Target="https://maps.google.com/?q=17.490177444543,-97.716967912209" TargetMode="External"/><Relationship Id="rId1097" Type="http://schemas.openxmlformats.org/officeDocument/2006/relationships/hyperlink" Target="https://maps.google.com/?q=17.071544120503,-96.715912270785" TargetMode="External"/><Relationship Id="rId2148" Type="http://schemas.openxmlformats.org/officeDocument/2006/relationships/hyperlink" Target="https://maps.google.com/?q=16.878717462183,-97.504462780035" TargetMode="External"/><Relationship Id="rId3546" Type="http://schemas.openxmlformats.org/officeDocument/2006/relationships/hyperlink" Target="https://maps.google.com/?q=16.791093924618,-96.554330572898" TargetMode="External"/><Relationship Id="rId3753" Type="http://schemas.openxmlformats.org/officeDocument/2006/relationships/hyperlink" Target="https://maps.google.com/?q=16.2085101,-97.528324" TargetMode="External"/><Relationship Id="rId3960" Type="http://schemas.openxmlformats.org/officeDocument/2006/relationships/hyperlink" Target="https://maps.google.com/?q=16.88863208,-94.70693346" TargetMode="External"/><Relationship Id="rId674" Type="http://schemas.openxmlformats.org/officeDocument/2006/relationships/hyperlink" Target="https://maps.google.com/?q=17.050996077057,-96.726397847516" TargetMode="External"/><Relationship Id="rId881" Type="http://schemas.openxmlformats.org/officeDocument/2006/relationships/hyperlink" Target="https://maps.google.com/?q=17.12048878712,-96.756273222155" TargetMode="External"/><Relationship Id="rId2355" Type="http://schemas.openxmlformats.org/officeDocument/2006/relationships/hyperlink" Target="https://maps.google.com/?q=17.37963964,-96.50598471" TargetMode="External"/><Relationship Id="rId2562" Type="http://schemas.openxmlformats.org/officeDocument/2006/relationships/hyperlink" Target="https://maps.google.com/?q=17.08793441769,-96.7376791882" TargetMode="External"/><Relationship Id="rId3406" Type="http://schemas.openxmlformats.org/officeDocument/2006/relationships/hyperlink" Target="https://maps.google.com/?q=16.786315923234,-96.560363573236" TargetMode="External"/><Relationship Id="rId3613" Type="http://schemas.openxmlformats.org/officeDocument/2006/relationships/hyperlink" Target="https://maps.google.com/?q=16.2054181,-97.523522" TargetMode="External"/><Relationship Id="rId3820" Type="http://schemas.openxmlformats.org/officeDocument/2006/relationships/hyperlink" Target="https://maps.google.com/?q=16.2129621,-97.529644" TargetMode="External"/><Relationship Id="rId327" Type="http://schemas.openxmlformats.org/officeDocument/2006/relationships/hyperlink" Target="https://maps.google.com/?q=17.029153442729,-97.647291990361" TargetMode="External"/><Relationship Id="rId534" Type="http://schemas.openxmlformats.org/officeDocument/2006/relationships/hyperlink" Target="https://maps.google.com/?q=17.071544120503,-96.715912270785" TargetMode="External"/><Relationship Id="rId741" Type="http://schemas.openxmlformats.org/officeDocument/2006/relationships/hyperlink" Target="https://maps.google.com/?q=17.060851,-96.7069215" TargetMode="External"/><Relationship Id="rId1164" Type="http://schemas.openxmlformats.org/officeDocument/2006/relationships/hyperlink" Target="https://maps.google.com/?q=17.621436928378,-95.934652262566" TargetMode="External"/><Relationship Id="rId1371" Type="http://schemas.openxmlformats.org/officeDocument/2006/relationships/hyperlink" Target="https://maps.google.com/?q=16.31639873887,-96.579892508568" TargetMode="External"/><Relationship Id="rId2008" Type="http://schemas.openxmlformats.org/officeDocument/2006/relationships/hyperlink" Target="https://maps.google.com/?q=16.782958,-96.032502" TargetMode="External"/><Relationship Id="rId2215" Type="http://schemas.openxmlformats.org/officeDocument/2006/relationships/hyperlink" Target="https://maps.google.com/?q=16.644135794302,-96.581336901023" TargetMode="External"/><Relationship Id="rId2422" Type="http://schemas.openxmlformats.org/officeDocument/2006/relationships/hyperlink" Target="https://maps.google.com/?q=16.25044,-96.344667" TargetMode="External"/><Relationship Id="rId601" Type="http://schemas.openxmlformats.org/officeDocument/2006/relationships/hyperlink" Target="https://maps.google.com/?q=17.046283225675,-96.723106952965" TargetMode="External"/><Relationship Id="rId1024" Type="http://schemas.openxmlformats.org/officeDocument/2006/relationships/hyperlink" Target="https://maps.google.com/?q=17.085587,-96.701756" TargetMode="External"/><Relationship Id="rId1231" Type="http://schemas.openxmlformats.org/officeDocument/2006/relationships/hyperlink" Target="https://maps.google.com/?q=15.862026562502,-97.074353971897" TargetMode="External"/><Relationship Id="rId3196" Type="http://schemas.openxmlformats.org/officeDocument/2006/relationships/hyperlink" Target="https://maps.google.com/?q=16.784732923579,-96.574637564562" TargetMode="External"/><Relationship Id="rId3056" Type="http://schemas.openxmlformats.org/officeDocument/2006/relationships/hyperlink" Target="https://maps.google.com/?q=17.44038,-96.61905" TargetMode="External"/><Relationship Id="rId3263" Type="http://schemas.openxmlformats.org/officeDocument/2006/relationships/hyperlink" Target="https://maps.google.com/?q=16.785412925635,-96.562732572507" TargetMode="External"/><Relationship Id="rId3470" Type="http://schemas.openxmlformats.org/officeDocument/2006/relationships/hyperlink" Target="https://maps.google.com/?q=16.788951927866,-96.551389577108" TargetMode="External"/><Relationship Id="rId184" Type="http://schemas.openxmlformats.org/officeDocument/2006/relationships/hyperlink" Target="https://maps.google.com/?q=17.276817719405,-97.671174519014" TargetMode="External"/><Relationship Id="rId391" Type="http://schemas.openxmlformats.org/officeDocument/2006/relationships/hyperlink" Target="https://maps.google.com/?q=17.519341173461,-97.740229565641" TargetMode="External"/><Relationship Id="rId1908" Type="http://schemas.openxmlformats.org/officeDocument/2006/relationships/hyperlink" Target="https://maps.google.com/?q=16.77902,-96.037672" TargetMode="External"/><Relationship Id="rId2072" Type="http://schemas.openxmlformats.org/officeDocument/2006/relationships/hyperlink" Target="https://maps.google.com/?q=16.785266,-96.03076" TargetMode="External"/><Relationship Id="rId3123" Type="http://schemas.openxmlformats.org/officeDocument/2006/relationships/hyperlink" Target="https://maps.google.com/?q=17.976675,-96.704081" TargetMode="External"/><Relationship Id="rId251" Type="http://schemas.openxmlformats.org/officeDocument/2006/relationships/hyperlink" Target="https://maps.google.com/?q=16.237076,-97.292352" TargetMode="External"/><Relationship Id="rId3330" Type="http://schemas.openxmlformats.org/officeDocument/2006/relationships/hyperlink" Target="https://maps.google.com/?q=16.785841917647,-96.573817564297" TargetMode="External"/><Relationship Id="rId2889" Type="http://schemas.openxmlformats.org/officeDocument/2006/relationships/hyperlink" Target="https://maps.google.com/?q=17.057950384248,-96.823105995778" TargetMode="External"/><Relationship Id="rId111" Type="http://schemas.openxmlformats.org/officeDocument/2006/relationships/hyperlink" Target="https://maps.google.com/?q=17.308453989853,-96.16717121166" TargetMode="External"/><Relationship Id="rId1698" Type="http://schemas.openxmlformats.org/officeDocument/2006/relationships/hyperlink" Target="https://maps.google.com/?q=16.524726,-96.977486" TargetMode="External"/><Relationship Id="rId2749" Type="http://schemas.openxmlformats.org/officeDocument/2006/relationships/hyperlink" Target="https://maps.google.com/?q=17.784901,-96.80266" TargetMode="External"/><Relationship Id="rId2956" Type="http://schemas.openxmlformats.org/officeDocument/2006/relationships/hyperlink" Target="https://maps.google.com/?q=17.648366132605,-96.914891476934" TargetMode="External"/><Relationship Id="rId928" Type="http://schemas.openxmlformats.org/officeDocument/2006/relationships/hyperlink" Target="https://maps.google.com/?q=17.068541,-96.731129" TargetMode="External"/><Relationship Id="rId1558" Type="http://schemas.openxmlformats.org/officeDocument/2006/relationships/hyperlink" Target="https://maps.google.com/?q=16.336799817688,-95.230201100525" TargetMode="External"/><Relationship Id="rId1765" Type="http://schemas.openxmlformats.org/officeDocument/2006/relationships/hyperlink" Target="https://maps.google.com/?q=17.025974214,-96.712962813" TargetMode="External"/><Relationship Id="rId2609" Type="http://schemas.openxmlformats.org/officeDocument/2006/relationships/hyperlink" Target="https://maps.google.com/?q=17.092517891043,-96.738598655933" TargetMode="External"/><Relationship Id="rId57" Type="http://schemas.openxmlformats.org/officeDocument/2006/relationships/hyperlink" Target="https://maps.google.com/?q=17.056806,-96.683833" TargetMode="External"/><Relationship Id="rId1418" Type="http://schemas.openxmlformats.org/officeDocument/2006/relationships/hyperlink" Target="https://maps.google.com/?q=16.519807,-96.983885" TargetMode="External"/><Relationship Id="rId1972" Type="http://schemas.openxmlformats.org/officeDocument/2006/relationships/hyperlink" Target="https://maps.google.com/?q=16.781374,-96.034439" TargetMode="External"/><Relationship Id="rId2816" Type="http://schemas.openxmlformats.org/officeDocument/2006/relationships/hyperlink" Target="https://maps.google.com/?q=17.277857954928,-97.369850323618" TargetMode="External"/><Relationship Id="rId1625" Type="http://schemas.openxmlformats.org/officeDocument/2006/relationships/hyperlink" Target="https://maps.google.com/?q=18.245269185794,-96.283327563645" TargetMode="External"/><Relationship Id="rId1832" Type="http://schemas.openxmlformats.org/officeDocument/2006/relationships/hyperlink" Target="https://maps.google.com/?q=17.928990667595,-97.667837494192" TargetMode="External"/><Relationship Id="rId3797" Type="http://schemas.openxmlformats.org/officeDocument/2006/relationships/hyperlink" Target="https://maps.google.com/?q=16.2095391,-97.526375" TargetMode="External"/><Relationship Id="rId2399" Type="http://schemas.openxmlformats.org/officeDocument/2006/relationships/hyperlink" Target="https://maps.google.com/?q=16.249261,-96.345988" TargetMode="External"/><Relationship Id="rId3657" Type="http://schemas.openxmlformats.org/officeDocument/2006/relationships/hyperlink" Target="https://maps.google.com/?q=16.2063151,-97.528006" TargetMode="External"/><Relationship Id="rId3864" Type="http://schemas.openxmlformats.org/officeDocument/2006/relationships/hyperlink" Target="https://maps.google.com/?q=17.03329240393,-96.728414880167" TargetMode="External"/><Relationship Id="rId578" Type="http://schemas.openxmlformats.org/officeDocument/2006/relationships/hyperlink" Target="https://maps.google.com/?q=17.04363197324,-96.714801543043" TargetMode="External"/><Relationship Id="rId785" Type="http://schemas.openxmlformats.org/officeDocument/2006/relationships/hyperlink" Target="https://maps.google.com/?q=17.081825635005,-96.696593893181" TargetMode="External"/><Relationship Id="rId992" Type="http://schemas.openxmlformats.org/officeDocument/2006/relationships/hyperlink" Target="https://maps.google.com/?q=17.463674,-97.342823" TargetMode="External"/><Relationship Id="rId2259" Type="http://schemas.openxmlformats.org/officeDocument/2006/relationships/hyperlink" Target="https://maps.google.com/?q=17.35126965,-96.53145212" TargetMode="External"/><Relationship Id="rId2466" Type="http://schemas.openxmlformats.org/officeDocument/2006/relationships/hyperlink" Target="https://maps.google.com/?q=16.254879,-96.337244" TargetMode="External"/><Relationship Id="rId2673" Type="http://schemas.openxmlformats.org/officeDocument/2006/relationships/hyperlink" Target="https://maps.google.com/?q=17.062725766733,-96.711476167112" TargetMode="External"/><Relationship Id="rId2880" Type="http://schemas.openxmlformats.org/officeDocument/2006/relationships/hyperlink" Target="https://maps.google.com/?q=17.056601785744,-96.82065099999" TargetMode="External"/><Relationship Id="rId3517" Type="http://schemas.openxmlformats.org/officeDocument/2006/relationships/hyperlink" Target="https://maps.google.com/?q=16.790668930528,-96.553656576246" TargetMode="External"/><Relationship Id="rId3724" Type="http://schemas.openxmlformats.org/officeDocument/2006/relationships/hyperlink" Target="https://maps.google.com/?q=16.2079771,-97.527705" TargetMode="External"/><Relationship Id="rId3931" Type="http://schemas.openxmlformats.org/officeDocument/2006/relationships/hyperlink" Target="https://maps.google.com/?q=16.86960123,-94.72640458" TargetMode="External"/><Relationship Id="rId438" Type="http://schemas.openxmlformats.org/officeDocument/2006/relationships/hyperlink" Target="https://maps.google.com/?q=17.508393598658,-97.707301585523" TargetMode="External"/><Relationship Id="rId645" Type="http://schemas.openxmlformats.org/officeDocument/2006/relationships/hyperlink" Target="https://maps.google.com/?q=17.049691705151,-96.735881437496" TargetMode="External"/><Relationship Id="rId852" Type="http://schemas.openxmlformats.org/officeDocument/2006/relationships/hyperlink" Target="https://maps.google.com/?q=17.086462180658,-96.694376329584" TargetMode="External"/><Relationship Id="rId1068" Type="http://schemas.openxmlformats.org/officeDocument/2006/relationships/hyperlink" Target="https://maps.google.com/?q=17.085963,-96.745243" TargetMode="External"/><Relationship Id="rId1275" Type="http://schemas.openxmlformats.org/officeDocument/2006/relationships/hyperlink" Target="https://maps.google.com/?q=16.068270288217,-96.196996911709" TargetMode="External"/><Relationship Id="rId1482" Type="http://schemas.openxmlformats.org/officeDocument/2006/relationships/hyperlink" Target="https://maps.google.com/?q=17.102961,-96.779657" TargetMode="External"/><Relationship Id="rId2119" Type="http://schemas.openxmlformats.org/officeDocument/2006/relationships/hyperlink" Target="https://maps.google.com/?q=16.874973380644,-97.504088664341" TargetMode="External"/><Relationship Id="rId2326" Type="http://schemas.openxmlformats.org/officeDocument/2006/relationships/hyperlink" Target="https://maps.google.com/?q=17.37306257,-96.50802088" TargetMode="External"/><Relationship Id="rId2533" Type="http://schemas.openxmlformats.org/officeDocument/2006/relationships/hyperlink" Target="https://maps.google.com/?q=16.271792,-96.30936" TargetMode="External"/><Relationship Id="rId2740" Type="http://schemas.openxmlformats.org/officeDocument/2006/relationships/hyperlink" Target="https://maps.google.com/?q=16.173124,-97.9662" TargetMode="External"/><Relationship Id="rId505" Type="http://schemas.openxmlformats.org/officeDocument/2006/relationships/hyperlink" Target="https://maps.google.com/?q=17.531388927099,-97.790920297875" TargetMode="External"/><Relationship Id="rId712" Type="http://schemas.openxmlformats.org/officeDocument/2006/relationships/hyperlink" Target="https://maps.google.com/?q=17.055796494312,-96.727867867243" TargetMode="External"/><Relationship Id="rId1135" Type="http://schemas.openxmlformats.org/officeDocument/2006/relationships/hyperlink" Target="https://maps.google.com/?q=17.474333987576,-95.453619046627" TargetMode="External"/><Relationship Id="rId1342" Type="http://schemas.openxmlformats.org/officeDocument/2006/relationships/hyperlink" Target="https://maps.google.com/?q=17.451812848559,-97.07151869577" TargetMode="External"/><Relationship Id="rId1202" Type="http://schemas.openxmlformats.org/officeDocument/2006/relationships/hyperlink" Target="https://maps.google.com/?q=16.786506459089,-96.79591346627" TargetMode="External"/><Relationship Id="rId2600" Type="http://schemas.openxmlformats.org/officeDocument/2006/relationships/hyperlink" Target="https://maps.google.com/?q=17.091502431926,-96.737403552212" TargetMode="External"/><Relationship Id="rId3167" Type="http://schemas.openxmlformats.org/officeDocument/2006/relationships/hyperlink" Target="https://maps.google.com/?q=16.783707918761,-96.568841562633" TargetMode="External"/><Relationship Id="rId295" Type="http://schemas.openxmlformats.org/officeDocument/2006/relationships/hyperlink" Target="https://maps.google.com/?q=16.667235,-95.531022" TargetMode="External"/><Relationship Id="rId3374" Type="http://schemas.openxmlformats.org/officeDocument/2006/relationships/hyperlink" Target="https://maps.google.com/?q=16.786017916371,-96.577159559203" TargetMode="External"/><Relationship Id="rId3581" Type="http://schemas.openxmlformats.org/officeDocument/2006/relationships/hyperlink" Target="https://maps.google.com/?q=16.2048361,-97.529911" TargetMode="External"/><Relationship Id="rId2183" Type="http://schemas.openxmlformats.org/officeDocument/2006/relationships/hyperlink" Target="https://maps.google.com/?q=17.05120796,-96.63964174" TargetMode="External"/><Relationship Id="rId2390" Type="http://schemas.openxmlformats.org/officeDocument/2006/relationships/hyperlink" Target="https://maps.google.com/?q=16.248637,-96.346199" TargetMode="External"/><Relationship Id="rId3027" Type="http://schemas.openxmlformats.org/officeDocument/2006/relationships/hyperlink" Target="https://maps.google.com/?q=16.299926,-96.769907" TargetMode="External"/><Relationship Id="rId3234" Type="http://schemas.openxmlformats.org/officeDocument/2006/relationships/hyperlink" Target="https://maps.google.com/?q=16.78517963,-96.58601968" TargetMode="External"/><Relationship Id="rId3441" Type="http://schemas.openxmlformats.org/officeDocument/2006/relationships/hyperlink" Target="https://maps.google.com/?q=16.787867925628,-96.555886569548" TargetMode="External"/><Relationship Id="rId155" Type="http://schemas.openxmlformats.org/officeDocument/2006/relationships/hyperlink" Target="https://maps.google.com/?q=17.270684,-97.674244" TargetMode="External"/><Relationship Id="rId362" Type="http://schemas.openxmlformats.org/officeDocument/2006/relationships/hyperlink" Target="https://maps.google.com/?q=17.040771,-96.728722" TargetMode="External"/><Relationship Id="rId2043" Type="http://schemas.openxmlformats.org/officeDocument/2006/relationships/hyperlink" Target="https://maps.google.com/?q=16.783833,-96.030878" TargetMode="External"/><Relationship Id="rId2250" Type="http://schemas.openxmlformats.org/officeDocument/2006/relationships/hyperlink" Target="https://maps.google.com/?q=17.35025443,-96.53335613" TargetMode="External"/><Relationship Id="rId3301" Type="http://schemas.openxmlformats.org/officeDocument/2006/relationships/hyperlink" Target="https://maps.google.com/?q=16.785686916738,-96.57389456813" TargetMode="External"/><Relationship Id="rId222" Type="http://schemas.openxmlformats.org/officeDocument/2006/relationships/hyperlink" Target="https://maps.google.com/?q=15.909193748076,-96.216187140515" TargetMode="External"/><Relationship Id="rId2110" Type="http://schemas.openxmlformats.org/officeDocument/2006/relationships/hyperlink" Target="https://maps.google.com/?q=16.930359141077,-96.60149332924" TargetMode="External"/><Relationship Id="rId1669" Type="http://schemas.openxmlformats.org/officeDocument/2006/relationships/hyperlink" Target="https://maps.google.com/?q=16.521339,-96.976641" TargetMode="External"/><Relationship Id="rId1876" Type="http://schemas.openxmlformats.org/officeDocument/2006/relationships/hyperlink" Target="https://maps.google.com/?q=16.07126380205,-96.302401273639" TargetMode="External"/><Relationship Id="rId2927" Type="http://schemas.openxmlformats.org/officeDocument/2006/relationships/hyperlink" Target="https://maps.google.com/?q=18.099877364812,-95.895840727906" TargetMode="External"/><Relationship Id="rId3091" Type="http://schemas.openxmlformats.org/officeDocument/2006/relationships/hyperlink" Target="https://maps.google.com/?q=17.970147,-96.691404" TargetMode="External"/><Relationship Id="rId1529" Type="http://schemas.openxmlformats.org/officeDocument/2006/relationships/hyperlink" Target="https://maps.google.com/?q=17.501442,-98.142584" TargetMode="External"/><Relationship Id="rId1736" Type="http://schemas.openxmlformats.org/officeDocument/2006/relationships/hyperlink" Target="https://maps.google.com/?q=16.799818,-96.460952" TargetMode="External"/><Relationship Id="rId1943" Type="http://schemas.openxmlformats.org/officeDocument/2006/relationships/hyperlink" Target="https://maps.google.com/?q=16.780479,-96.034184" TargetMode="External"/><Relationship Id="rId28" Type="http://schemas.openxmlformats.org/officeDocument/2006/relationships/hyperlink" Target="https://maps.google.com/?q=17.207464,-96.801094" TargetMode="External"/><Relationship Id="rId1803" Type="http://schemas.openxmlformats.org/officeDocument/2006/relationships/hyperlink" Target="https://maps.google.com/?q=17.987239,-96.840442" TargetMode="External"/><Relationship Id="rId4002" Type="http://schemas.openxmlformats.org/officeDocument/2006/relationships/hyperlink" Target="https://maps.google.com/?q=16.90087039,-94.69131211" TargetMode="External"/><Relationship Id="rId3768" Type="http://schemas.openxmlformats.org/officeDocument/2006/relationships/hyperlink" Target="https://maps.google.com/?q=16.2088331,-97.5316511" TargetMode="External"/><Relationship Id="rId3975" Type="http://schemas.openxmlformats.org/officeDocument/2006/relationships/hyperlink" Target="https://maps.google.com/?q=16.89455826,-94.69952491" TargetMode="External"/><Relationship Id="rId689" Type="http://schemas.openxmlformats.org/officeDocument/2006/relationships/hyperlink" Target="https://maps.google.com/?q=17.0518634,-96.7068183" TargetMode="External"/><Relationship Id="rId896" Type="http://schemas.openxmlformats.org/officeDocument/2006/relationships/hyperlink" Target="https://maps.google.com/?q=17.10978924,-96.75709363" TargetMode="External"/><Relationship Id="rId2577" Type="http://schemas.openxmlformats.org/officeDocument/2006/relationships/hyperlink" Target="https://maps.google.com/?q=17.089585528674,-96.736525845339" TargetMode="External"/><Relationship Id="rId2784" Type="http://schemas.openxmlformats.org/officeDocument/2006/relationships/hyperlink" Target="https://maps.google.com/?q=17.788668,-96.813055" TargetMode="External"/><Relationship Id="rId3628" Type="http://schemas.openxmlformats.org/officeDocument/2006/relationships/hyperlink" Target="https://maps.google.com/?q=16.2055481,-97.527113" TargetMode="External"/><Relationship Id="rId549" Type="http://schemas.openxmlformats.org/officeDocument/2006/relationships/hyperlink" Target="https://maps.google.com/?q=17.071544120503,-96.715912270785" TargetMode="External"/><Relationship Id="rId756" Type="http://schemas.openxmlformats.org/officeDocument/2006/relationships/hyperlink" Target="https://maps.google.com/?q=17.065399814281,-96.721846731816" TargetMode="External"/><Relationship Id="rId1179" Type="http://schemas.openxmlformats.org/officeDocument/2006/relationships/hyperlink" Target="https://maps.google.com/?q=16.538672936864,-97.172179084656" TargetMode="External"/><Relationship Id="rId1386" Type="http://schemas.openxmlformats.org/officeDocument/2006/relationships/hyperlink" Target="https://maps.google.com/?q=18.09497,-95.9418964" TargetMode="External"/><Relationship Id="rId1593" Type="http://schemas.openxmlformats.org/officeDocument/2006/relationships/hyperlink" Target="https://maps.google.com/?q=17.0282018,-96.711325" TargetMode="External"/><Relationship Id="rId2437" Type="http://schemas.openxmlformats.org/officeDocument/2006/relationships/hyperlink" Target="https://maps.google.com/?q=16.252551,-96.328988" TargetMode="External"/><Relationship Id="rId2991" Type="http://schemas.openxmlformats.org/officeDocument/2006/relationships/hyperlink" Target="https://maps.google.com/?q=15.958026130386,-96.7686101374" TargetMode="External"/><Relationship Id="rId3835" Type="http://schemas.openxmlformats.org/officeDocument/2006/relationships/hyperlink" Target="https://maps.google.com/?q=15.951199,-97.284134" TargetMode="External"/><Relationship Id="rId409" Type="http://schemas.openxmlformats.org/officeDocument/2006/relationships/hyperlink" Target="https://maps.google.com/?q=17.539653328235,-97.739056473887" TargetMode="External"/><Relationship Id="rId963" Type="http://schemas.openxmlformats.org/officeDocument/2006/relationships/hyperlink" Target="https://maps.google.com/?q=16.246903088477,-95.14749039364" TargetMode="External"/><Relationship Id="rId1039" Type="http://schemas.openxmlformats.org/officeDocument/2006/relationships/hyperlink" Target="https://maps.google.com/?q=16.866371,-96.785623" TargetMode="External"/><Relationship Id="rId1246" Type="http://schemas.openxmlformats.org/officeDocument/2006/relationships/hyperlink" Target="https://maps.google.com/?q=15.982489685878,-95.677354377979" TargetMode="External"/><Relationship Id="rId2644" Type="http://schemas.openxmlformats.org/officeDocument/2006/relationships/hyperlink" Target="https://maps.google.com/?q=16.469818,-98.002289" TargetMode="External"/><Relationship Id="rId2851" Type="http://schemas.openxmlformats.org/officeDocument/2006/relationships/hyperlink" Target="https://maps.google.com/?q=17.287629100924,-97.37392567449" TargetMode="External"/><Relationship Id="rId3902" Type="http://schemas.openxmlformats.org/officeDocument/2006/relationships/hyperlink" Target="https://maps.google.com/?q=16.86156655,-94.73514341" TargetMode="External"/><Relationship Id="rId92" Type="http://schemas.openxmlformats.org/officeDocument/2006/relationships/hyperlink" Target="https://maps.google.com/?q=16.440143710351,-95.020793721097" TargetMode="External"/><Relationship Id="rId616" Type="http://schemas.openxmlformats.org/officeDocument/2006/relationships/hyperlink" Target="https://maps.google.com/?q=17.047444487184,-96.726909717966" TargetMode="External"/><Relationship Id="rId823" Type="http://schemas.openxmlformats.org/officeDocument/2006/relationships/hyperlink" Target="https://maps.google.com/?q=17.08423044417,-96.698956894376" TargetMode="External"/><Relationship Id="rId1453" Type="http://schemas.openxmlformats.org/officeDocument/2006/relationships/hyperlink" Target="https://maps.google.com/?q=16.237076,-97.292352" TargetMode="External"/><Relationship Id="rId1660" Type="http://schemas.openxmlformats.org/officeDocument/2006/relationships/hyperlink" Target="https://maps.google.com/?q=16.517918,-96.977042" TargetMode="External"/><Relationship Id="rId2504" Type="http://schemas.openxmlformats.org/officeDocument/2006/relationships/hyperlink" Target="https://maps.google.com/?q=16.264629,-96.310642" TargetMode="External"/><Relationship Id="rId2711" Type="http://schemas.openxmlformats.org/officeDocument/2006/relationships/hyperlink" Target="https://maps.google.com/?q=17.083470517018,-96.713874913139" TargetMode="External"/><Relationship Id="rId1106" Type="http://schemas.openxmlformats.org/officeDocument/2006/relationships/hyperlink" Target="https://maps.google.com/?q=17.050591666667,-96.723063888889" TargetMode="External"/><Relationship Id="rId1313" Type="http://schemas.openxmlformats.org/officeDocument/2006/relationships/hyperlink" Target="https://maps.google.com/?q=16.504770605096,-95.064932944775" TargetMode="External"/><Relationship Id="rId1520" Type="http://schemas.openxmlformats.org/officeDocument/2006/relationships/hyperlink" Target="https://maps.google.com/?q=17.027131,-96.077044" TargetMode="External"/><Relationship Id="rId3278" Type="http://schemas.openxmlformats.org/officeDocument/2006/relationships/hyperlink" Target="https://maps.google.com/?q=16.78555188,-96.58588268" TargetMode="External"/><Relationship Id="rId3485" Type="http://schemas.openxmlformats.org/officeDocument/2006/relationships/hyperlink" Target="https://maps.google.com/?q=16.789573927808,-96.55465457219" TargetMode="External"/><Relationship Id="rId3692" Type="http://schemas.openxmlformats.org/officeDocument/2006/relationships/hyperlink" Target="https://maps.google.com/?q=16.2072191,-97.530214" TargetMode="External"/><Relationship Id="rId199" Type="http://schemas.openxmlformats.org/officeDocument/2006/relationships/hyperlink" Target="https://maps.google.com/?q=15.905839701788,-96.218725176527" TargetMode="External"/><Relationship Id="rId2087" Type="http://schemas.openxmlformats.org/officeDocument/2006/relationships/hyperlink" Target="https://maps.google.com/?q=16.924353744885,-96.60394535138" TargetMode="External"/><Relationship Id="rId2294" Type="http://schemas.openxmlformats.org/officeDocument/2006/relationships/hyperlink" Target="https://maps.google.com/?q=17.35540371,-96.5326947" TargetMode="External"/><Relationship Id="rId3138" Type="http://schemas.openxmlformats.org/officeDocument/2006/relationships/hyperlink" Target="https://maps.google.com/?q=16.77693737,-96.58379008" TargetMode="External"/><Relationship Id="rId3345" Type="http://schemas.openxmlformats.org/officeDocument/2006/relationships/hyperlink" Target="https://maps.google.com/?q=16.785916924376,-96.55806856991" TargetMode="External"/><Relationship Id="rId3552" Type="http://schemas.openxmlformats.org/officeDocument/2006/relationships/hyperlink" Target="https://maps.google.com/?q=16.791528924873,-96.551893570785" TargetMode="External"/><Relationship Id="rId266" Type="http://schemas.openxmlformats.org/officeDocument/2006/relationships/hyperlink" Target="https://maps.google.com/?q=17.207464,-96.801094" TargetMode="External"/><Relationship Id="rId473" Type="http://schemas.openxmlformats.org/officeDocument/2006/relationships/hyperlink" Target="https://maps.google.com/?q=17.492875514509,-97.714215512897" TargetMode="External"/><Relationship Id="rId680" Type="http://schemas.openxmlformats.org/officeDocument/2006/relationships/hyperlink" Target="https://maps.google.com/?q=17.051399618261,-96.735348648894" TargetMode="External"/><Relationship Id="rId2154" Type="http://schemas.openxmlformats.org/officeDocument/2006/relationships/hyperlink" Target="https://maps.google.com/?q=17.04895505,-96.63665564" TargetMode="External"/><Relationship Id="rId2361" Type="http://schemas.openxmlformats.org/officeDocument/2006/relationships/hyperlink" Target="https://maps.google.com/?q=17.38007813,-96.50493465" TargetMode="External"/><Relationship Id="rId3205" Type="http://schemas.openxmlformats.org/officeDocument/2006/relationships/hyperlink" Target="https://maps.google.com/?q=16.784852919893,-96.575598560701" TargetMode="External"/><Relationship Id="rId3412" Type="http://schemas.openxmlformats.org/officeDocument/2006/relationships/hyperlink" Target="https://maps.google.com/?q=16.78642452,-96.57976389" TargetMode="External"/><Relationship Id="rId126" Type="http://schemas.openxmlformats.org/officeDocument/2006/relationships/hyperlink" Target="https://maps.google.com/?q=17.272788,-97.672564" TargetMode="External"/><Relationship Id="rId333" Type="http://schemas.openxmlformats.org/officeDocument/2006/relationships/hyperlink" Target="https://maps.google.com/?q=17.027841310357,-97.663973397216" TargetMode="External"/><Relationship Id="rId540" Type="http://schemas.openxmlformats.org/officeDocument/2006/relationships/hyperlink" Target="https://maps.google.com/?q=17.071544120503,-96.715912270785" TargetMode="External"/><Relationship Id="rId1170" Type="http://schemas.openxmlformats.org/officeDocument/2006/relationships/hyperlink" Target="https://maps.google.com/?q=18.536219080243,-96.60683402943" TargetMode="External"/><Relationship Id="rId2014" Type="http://schemas.openxmlformats.org/officeDocument/2006/relationships/hyperlink" Target="https://maps.google.com/?q=16.783078,-96.031909" TargetMode="External"/><Relationship Id="rId2221" Type="http://schemas.openxmlformats.org/officeDocument/2006/relationships/hyperlink" Target="https://maps.google.com/?q=16.645098646983,-96.572421410382" TargetMode="External"/><Relationship Id="rId1030" Type="http://schemas.openxmlformats.org/officeDocument/2006/relationships/hyperlink" Target="https://maps.google.com/?q=16.237076,-97.292352" TargetMode="External"/><Relationship Id="rId400" Type="http://schemas.openxmlformats.org/officeDocument/2006/relationships/hyperlink" Target="https://maps.google.com/?q=17.520506822874,-97.736288385344" TargetMode="External"/><Relationship Id="rId1987" Type="http://schemas.openxmlformats.org/officeDocument/2006/relationships/hyperlink" Target="https://maps.google.com/?q=16.781787,-96.03421" TargetMode="External"/><Relationship Id="rId1847" Type="http://schemas.openxmlformats.org/officeDocument/2006/relationships/hyperlink" Target="https://maps.google.com/?q=16.14671092123,-96.35167169046" TargetMode="External"/><Relationship Id="rId1707" Type="http://schemas.openxmlformats.org/officeDocument/2006/relationships/hyperlink" Target="https://maps.google.com/?q=16.525536,-96.978143" TargetMode="External"/><Relationship Id="rId3062" Type="http://schemas.openxmlformats.org/officeDocument/2006/relationships/hyperlink" Target="https://maps.google.com/?q=16.733469754877,-97.479673341105" TargetMode="External"/><Relationship Id="rId190" Type="http://schemas.openxmlformats.org/officeDocument/2006/relationships/hyperlink" Target="https://maps.google.com/?q=17.27745,-97.671086023314" TargetMode="External"/><Relationship Id="rId1914" Type="http://schemas.openxmlformats.org/officeDocument/2006/relationships/hyperlink" Target="https://maps.google.com/?q=16.779155,-96.035247" TargetMode="External"/><Relationship Id="rId3879" Type="http://schemas.openxmlformats.org/officeDocument/2006/relationships/hyperlink" Target="https://maps.google.com/?q=18.013584515464,-96.171258170156" TargetMode="External"/><Relationship Id="rId2688" Type="http://schemas.openxmlformats.org/officeDocument/2006/relationships/hyperlink" Target="https://maps.google.com/?q=17.065338494972,-96.734756270688" TargetMode="External"/><Relationship Id="rId2895" Type="http://schemas.openxmlformats.org/officeDocument/2006/relationships/hyperlink" Target="https://maps.google.com/?q=17.06235484891,-96.819437976687" TargetMode="External"/><Relationship Id="rId3739" Type="http://schemas.openxmlformats.org/officeDocument/2006/relationships/hyperlink" Target="https://maps.google.com/?q=16.2082301,-97.527932" TargetMode="External"/><Relationship Id="rId3946" Type="http://schemas.openxmlformats.org/officeDocument/2006/relationships/hyperlink" Target="https://maps.google.com/?q=16.88060184,-94.71198562" TargetMode="External"/><Relationship Id="rId867" Type="http://schemas.openxmlformats.org/officeDocument/2006/relationships/hyperlink" Target="https://maps.google.com/?q=17.115922729179,-96.76890213459" TargetMode="External"/><Relationship Id="rId1497" Type="http://schemas.openxmlformats.org/officeDocument/2006/relationships/hyperlink" Target="https://maps.google.com/?q=17.062257096949,-96.72566974866" TargetMode="External"/><Relationship Id="rId2548" Type="http://schemas.openxmlformats.org/officeDocument/2006/relationships/hyperlink" Target="https://maps.google.com/?q=17.941272,-96.868606" TargetMode="External"/><Relationship Id="rId2755" Type="http://schemas.openxmlformats.org/officeDocument/2006/relationships/hyperlink" Target="https://maps.google.com/?q=17.785395,-96.803138" TargetMode="External"/><Relationship Id="rId2962" Type="http://schemas.openxmlformats.org/officeDocument/2006/relationships/hyperlink" Target="https://maps.google.com/?q=17.840503420983,-97.014863403422" TargetMode="External"/><Relationship Id="rId3806" Type="http://schemas.openxmlformats.org/officeDocument/2006/relationships/hyperlink" Target="https://maps.google.com/?q=16.2101401,-97.529825" TargetMode="External"/><Relationship Id="rId727" Type="http://schemas.openxmlformats.org/officeDocument/2006/relationships/hyperlink" Target="https://maps.google.com/?q=17.058154870287,-96.730319676407" TargetMode="External"/><Relationship Id="rId934" Type="http://schemas.openxmlformats.org/officeDocument/2006/relationships/hyperlink" Target="https://maps.google.com/?q=16.677051233337,-98.076267298016" TargetMode="External"/><Relationship Id="rId1357" Type="http://schemas.openxmlformats.org/officeDocument/2006/relationships/hyperlink" Target="https://maps.google.com/?q=17.618519616882,-95.934491547291" TargetMode="External"/><Relationship Id="rId1564" Type="http://schemas.openxmlformats.org/officeDocument/2006/relationships/hyperlink" Target="https://maps.google.com/?q=17.061080931756,-96.725508424502" TargetMode="External"/><Relationship Id="rId1771" Type="http://schemas.openxmlformats.org/officeDocument/2006/relationships/hyperlink" Target="https://maps.google.com/?q=17.027121229,-96.711938248" TargetMode="External"/><Relationship Id="rId2408" Type="http://schemas.openxmlformats.org/officeDocument/2006/relationships/hyperlink" Target="https://maps.google.com/?q=16.249609,-96.339486" TargetMode="External"/><Relationship Id="rId2615" Type="http://schemas.openxmlformats.org/officeDocument/2006/relationships/hyperlink" Target="https://maps.google.com/?q=17.093492109548,-96.739341627829" TargetMode="External"/><Relationship Id="rId2822" Type="http://schemas.openxmlformats.org/officeDocument/2006/relationships/hyperlink" Target="https://maps.google.com/?q=17.280606062283,-97.370277086854" TargetMode="External"/><Relationship Id="rId63" Type="http://schemas.openxmlformats.org/officeDocument/2006/relationships/hyperlink" Target="https://maps.google.com/?q=17.495051694493,-97.474206555075" TargetMode="External"/><Relationship Id="rId1217" Type="http://schemas.openxmlformats.org/officeDocument/2006/relationships/hyperlink" Target="https://maps.google.com/?q=17.279702906791,-96.892559008598" TargetMode="External"/><Relationship Id="rId1424" Type="http://schemas.openxmlformats.org/officeDocument/2006/relationships/hyperlink" Target="https://maps.google.com/?q=17.026216,-97.928115" TargetMode="External"/><Relationship Id="rId1631" Type="http://schemas.openxmlformats.org/officeDocument/2006/relationships/hyperlink" Target="https://maps.google.com/?q=16.739921860921,-96.662919795256" TargetMode="External"/><Relationship Id="rId3389" Type="http://schemas.openxmlformats.org/officeDocument/2006/relationships/hyperlink" Target="https://maps.google.com/?q=16.786088927732,-96.557580569835" TargetMode="External"/><Relationship Id="rId3596" Type="http://schemas.openxmlformats.org/officeDocument/2006/relationships/hyperlink" Target="https://maps.google.com/?q=16.2052671,-97.529984" TargetMode="External"/><Relationship Id="rId2198" Type="http://schemas.openxmlformats.org/officeDocument/2006/relationships/hyperlink" Target="https://maps.google.com/?q=16.636346380671,-96.588450603287" TargetMode="External"/><Relationship Id="rId3249" Type="http://schemas.openxmlformats.org/officeDocument/2006/relationships/hyperlink" Target="https://maps.google.com/?q=16.78531792568,-96.563327570169" TargetMode="External"/><Relationship Id="rId3456" Type="http://schemas.openxmlformats.org/officeDocument/2006/relationships/hyperlink" Target="https://maps.google.com/?q=16.788656923223,-96.553131572848" TargetMode="External"/><Relationship Id="rId377" Type="http://schemas.openxmlformats.org/officeDocument/2006/relationships/hyperlink" Target="https://maps.google.com/?q=17.041962,-96.727869" TargetMode="External"/><Relationship Id="rId584" Type="http://schemas.openxmlformats.org/officeDocument/2006/relationships/hyperlink" Target="https://maps.google.com/?q=17.044369172249,-96.711845603565" TargetMode="External"/><Relationship Id="rId2058" Type="http://schemas.openxmlformats.org/officeDocument/2006/relationships/hyperlink" Target="https://maps.google.com/?q=16.784445,-96.031235" TargetMode="External"/><Relationship Id="rId2265" Type="http://schemas.openxmlformats.org/officeDocument/2006/relationships/hyperlink" Target="https://maps.google.com/?q=17.35188329,-96.53946655" TargetMode="External"/><Relationship Id="rId3109" Type="http://schemas.openxmlformats.org/officeDocument/2006/relationships/hyperlink" Target="https://maps.google.com/?q=17.975012,-96.70632" TargetMode="External"/><Relationship Id="rId3663" Type="http://schemas.openxmlformats.org/officeDocument/2006/relationships/hyperlink" Target="https://maps.google.com/?q=16.2065011,-97.527891" TargetMode="External"/><Relationship Id="rId3870" Type="http://schemas.openxmlformats.org/officeDocument/2006/relationships/hyperlink" Target="https://maps.google.com/?q=17.03620841684,-96.728313829614" TargetMode="External"/><Relationship Id="rId237" Type="http://schemas.openxmlformats.org/officeDocument/2006/relationships/hyperlink" Target="https://maps.google.com/?q=15.91186456489,-96.210401223631" TargetMode="External"/><Relationship Id="rId791" Type="http://schemas.openxmlformats.org/officeDocument/2006/relationships/hyperlink" Target="https://maps.google.com/?q=17.082047874156,-96.699887912808" TargetMode="External"/><Relationship Id="rId1074" Type="http://schemas.openxmlformats.org/officeDocument/2006/relationships/hyperlink" Target="https://maps.google.com/?q=17.0976,-96.75028" TargetMode="External"/><Relationship Id="rId2472" Type="http://schemas.openxmlformats.org/officeDocument/2006/relationships/hyperlink" Target="https://maps.google.com/?q=16.255658,-96.323065" TargetMode="External"/><Relationship Id="rId3316" Type="http://schemas.openxmlformats.org/officeDocument/2006/relationships/hyperlink" Target="https://maps.google.com/?q=16.78578891755,-96.573832565631" TargetMode="External"/><Relationship Id="rId3523" Type="http://schemas.openxmlformats.org/officeDocument/2006/relationships/hyperlink" Target="https://maps.google.com/?q=16.790792925145,-96.554302574134" TargetMode="External"/><Relationship Id="rId3730" Type="http://schemas.openxmlformats.org/officeDocument/2006/relationships/hyperlink" Target="https://maps.google.com/?q=16.2081731,-97.528235" TargetMode="External"/><Relationship Id="rId444" Type="http://schemas.openxmlformats.org/officeDocument/2006/relationships/hyperlink" Target="https://maps.google.com/?q=17.512974706866,-97.711028193853" TargetMode="External"/><Relationship Id="rId651" Type="http://schemas.openxmlformats.org/officeDocument/2006/relationships/hyperlink" Target="https://maps.google.com/?q=17.0501019,-96.7072124" TargetMode="External"/><Relationship Id="rId1281" Type="http://schemas.openxmlformats.org/officeDocument/2006/relationships/hyperlink" Target="https://maps.google.com/?q=17.071696683365,-96.830492576721" TargetMode="External"/><Relationship Id="rId2125" Type="http://schemas.openxmlformats.org/officeDocument/2006/relationships/hyperlink" Target="https://maps.google.com/?q=16.875474563099,-97.503418325086" TargetMode="External"/><Relationship Id="rId2332" Type="http://schemas.openxmlformats.org/officeDocument/2006/relationships/hyperlink" Target="https://maps.google.com/?q=17.37548008,-96.50777181" TargetMode="External"/><Relationship Id="rId304" Type="http://schemas.openxmlformats.org/officeDocument/2006/relationships/hyperlink" Target="https://maps.google.com/?q=16.9398319,-96.7076994" TargetMode="External"/><Relationship Id="rId511" Type="http://schemas.openxmlformats.org/officeDocument/2006/relationships/hyperlink" Target="https://maps.google.com/?q=17.532286850537,-97.794498495701" TargetMode="External"/><Relationship Id="rId1141" Type="http://schemas.openxmlformats.org/officeDocument/2006/relationships/hyperlink" Target="https://maps.google.com/?q=18.033145265858,-96.87066597057" TargetMode="External"/><Relationship Id="rId1001" Type="http://schemas.openxmlformats.org/officeDocument/2006/relationships/hyperlink" Target="https://maps.google.com/?q=17.465391,-97.349398" TargetMode="External"/><Relationship Id="rId1958" Type="http://schemas.openxmlformats.org/officeDocument/2006/relationships/hyperlink" Target="https://maps.google.com/?q=16.780876,-96.032409" TargetMode="External"/><Relationship Id="rId3173" Type="http://schemas.openxmlformats.org/officeDocument/2006/relationships/hyperlink" Target="https://maps.google.com/?q=16.783906923785,-96.566579562875" TargetMode="External"/><Relationship Id="rId3380" Type="http://schemas.openxmlformats.org/officeDocument/2006/relationships/hyperlink" Target="https://maps.google.com/?q=16.78604892922,-96.560696574508" TargetMode="External"/><Relationship Id="rId1818" Type="http://schemas.openxmlformats.org/officeDocument/2006/relationships/hyperlink" Target="https://maps.google.com/?q=16.7381573785,-96.316507021382" TargetMode="External"/><Relationship Id="rId3033" Type="http://schemas.openxmlformats.org/officeDocument/2006/relationships/hyperlink" Target="https://maps.google.com/?q=17.078057062614,-96.743973463724" TargetMode="External"/><Relationship Id="rId3240" Type="http://schemas.openxmlformats.org/officeDocument/2006/relationships/hyperlink" Target="https://maps.google.com/?q=16.785263919768,-96.572887562635" TargetMode="External"/><Relationship Id="rId161" Type="http://schemas.openxmlformats.org/officeDocument/2006/relationships/hyperlink" Target="https://maps.google.com/?q=17.271217,-97.674165" TargetMode="External"/><Relationship Id="rId2799" Type="http://schemas.openxmlformats.org/officeDocument/2006/relationships/hyperlink" Target="https://maps.google.com/?q=17.791963,-96.8169" TargetMode="External"/><Relationship Id="rId3100" Type="http://schemas.openxmlformats.org/officeDocument/2006/relationships/hyperlink" Target="https://maps.google.com/?q=17.974367,-96.705942" TargetMode="External"/><Relationship Id="rId978" Type="http://schemas.openxmlformats.org/officeDocument/2006/relationships/hyperlink" Target="https://maps.google.com/?q=16.092778,-97.258231" TargetMode="External"/><Relationship Id="rId2659" Type="http://schemas.openxmlformats.org/officeDocument/2006/relationships/hyperlink" Target="https://maps.google.com/?q=17.00826,-97.699441" TargetMode="External"/><Relationship Id="rId2866" Type="http://schemas.openxmlformats.org/officeDocument/2006/relationships/hyperlink" Target="https://maps.google.com/?q=17.29313461712,-97.369261987933" TargetMode="External"/><Relationship Id="rId3917" Type="http://schemas.openxmlformats.org/officeDocument/2006/relationships/hyperlink" Target="https://maps.google.com/?q=16.86151257,-94.72869595" TargetMode="External"/><Relationship Id="rId838" Type="http://schemas.openxmlformats.org/officeDocument/2006/relationships/hyperlink" Target="https://maps.google.com/?q=17.085183164216,-96.698854068959" TargetMode="External"/><Relationship Id="rId1468" Type="http://schemas.openxmlformats.org/officeDocument/2006/relationships/hyperlink" Target="https://maps.google.com/?q=17.207464,-96.801094" TargetMode="External"/><Relationship Id="rId1675" Type="http://schemas.openxmlformats.org/officeDocument/2006/relationships/hyperlink" Target="https://maps.google.com/?q=16.521928,-96.977834" TargetMode="External"/><Relationship Id="rId1882" Type="http://schemas.openxmlformats.org/officeDocument/2006/relationships/hyperlink" Target="https://maps.google.com/?q=16.777527,-96.03208" TargetMode="External"/><Relationship Id="rId2519" Type="http://schemas.openxmlformats.org/officeDocument/2006/relationships/hyperlink" Target="https://maps.google.com/?q=16.268574,-96.310203" TargetMode="External"/><Relationship Id="rId2726" Type="http://schemas.openxmlformats.org/officeDocument/2006/relationships/hyperlink" Target="https://maps.google.com/?q=17.062704072423,-96.708731442383" TargetMode="External"/><Relationship Id="rId1328" Type="http://schemas.openxmlformats.org/officeDocument/2006/relationships/hyperlink" Target="https://maps.google.com/?q=17.996025541861,-97.429917634254" TargetMode="External"/><Relationship Id="rId1535" Type="http://schemas.openxmlformats.org/officeDocument/2006/relationships/hyperlink" Target="https://maps.google.com/?q=18.13222,-97.070751" TargetMode="External"/><Relationship Id="rId2933" Type="http://schemas.openxmlformats.org/officeDocument/2006/relationships/hyperlink" Target="https://maps.google.com/?q=17.07325,-96.7267" TargetMode="External"/><Relationship Id="rId905" Type="http://schemas.openxmlformats.org/officeDocument/2006/relationships/hyperlink" Target="https://maps.google.com/?q=17.901801,-96.341926" TargetMode="External"/><Relationship Id="rId1742" Type="http://schemas.openxmlformats.org/officeDocument/2006/relationships/hyperlink" Target="https://maps.google.com/?q=16.800905,-96.455405" TargetMode="External"/><Relationship Id="rId34" Type="http://schemas.openxmlformats.org/officeDocument/2006/relationships/hyperlink" Target="https://maps.google.com/?q=17.458341,-97.225285" TargetMode="External"/><Relationship Id="rId1602" Type="http://schemas.openxmlformats.org/officeDocument/2006/relationships/hyperlink" Target="https://maps.google.com/?q=15.835982879601,-96.322140326502" TargetMode="External"/><Relationship Id="rId3567" Type="http://schemas.openxmlformats.org/officeDocument/2006/relationships/hyperlink" Target="https://maps.google.com/?q=16.2034551,-97.527999" TargetMode="External"/><Relationship Id="rId3774" Type="http://schemas.openxmlformats.org/officeDocument/2006/relationships/hyperlink" Target="https://maps.google.com/?q=16.2089351,-97.531063" TargetMode="External"/><Relationship Id="rId3981" Type="http://schemas.openxmlformats.org/officeDocument/2006/relationships/hyperlink" Target="https://maps.google.com/?q=16.89630228,-94.6962554" TargetMode="External"/><Relationship Id="rId488" Type="http://schemas.openxmlformats.org/officeDocument/2006/relationships/hyperlink" Target="https://maps.google.com/?q=17.533827,-97.723081" TargetMode="External"/><Relationship Id="rId695" Type="http://schemas.openxmlformats.org/officeDocument/2006/relationships/hyperlink" Target="https://maps.google.com/?q=17.05258860345,-96.719108425969" TargetMode="External"/><Relationship Id="rId2169" Type="http://schemas.openxmlformats.org/officeDocument/2006/relationships/hyperlink" Target="https://maps.google.com/?q=17.05012683,-96.63884193" TargetMode="External"/><Relationship Id="rId2376" Type="http://schemas.openxmlformats.org/officeDocument/2006/relationships/hyperlink" Target="https://maps.google.com/?q=17.132085,-96.763438" TargetMode="External"/><Relationship Id="rId2583" Type="http://schemas.openxmlformats.org/officeDocument/2006/relationships/hyperlink" Target="https://maps.google.com/?q=17.090098865,-96.736740984" TargetMode="External"/><Relationship Id="rId2790" Type="http://schemas.openxmlformats.org/officeDocument/2006/relationships/hyperlink" Target="https://maps.google.com/?q=17.789811,-96.815908" TargetMode="External"/><Relationship Id="rId3427" Type="http://schemas.openxmlformats.org/officeDocument/2006/relationships/hyperlink" Target="https://maps.google.com/?q=16.786709925142,-96.556713575577" TargetMode="External"/><Relationship Id="rId3634" Type="http://schemas.openxmlformats.org/officeDocument/2006/relationships/hyperlink" Target="https://maps.google.com/?q=16.2056731,-97.528872" TargetMode="External"/><Relationship Id="rId3841" Type="http://schemas.openxmlformats.org/officeDocument/2006/relationships/hyperlink" Target="https://maps.google.com/?q=16.637794358509,-97.038973105384" TargetMode="External"/><Relationship Id="rId348" Type="http://schemas.openxmlformats.org/officeDocument/2006/relationships/hyperlink" Target="https://maps.google.com/?q=16.987265729356,-97.656471126848" TargetMode="External"/><Relationship Id="rId555" Type="http://schemas.openxmlformats.org/officeDocument/2006/relationships/hyperlink" Target="https://maps.google.com/?q=17.071544120503,-96.715912270785" TargetMode="External"/><Relationship Id="rId762" Type="http://schemas.openxmlformats.org/officeDocument/2006/relationships/hyperlink" Target="https://maps.google.com/?q=17.067614586424,-96.723393742699" TargetMode="External"/><Relationship Id="rId1185" Type="http://schemas.openxmlformats.org/officeDocument/2006/relationships/hyperlink" Target="https://maps.google.com/?q=17.103333,-96.761944" TargetMode="External"/><Relationship Id="rId1392" Type="http://schemas.openxmlformats.org/officeDocument/2006/relationships/hyperlink" Target="https://maps.google.com/?q=16.9099807,-96.720373" TargetMode="External"/><Relationship Id="rId2029" Type="http://schemas.openxmlformats.org/officeDocument/2006/relationships/hyperlink" Target="https://maps.google.com/?q=16.783426,-96.0317" TargetMode="External"/><Relationship Id="rId2236" Type="http://schemas.openxmlformats.org/officeDocument/2006/relationships/hyperlink" Target="https://maps.google.com/?q=17.34554662,-96.53026847" TargetMode="External"/><Relationship Id="rId2443" Type="http://schemas.openxmlformats.org/officeDocument/2006/relationships/hyperlink" Target="https://maps.google.com/?q=16.252907,-96.333604" TargetMode="External"/><Relationship Id="rId2650" Type="http://schemas.openxmlformats.org/officeDocument/2006/relationships/hyperlink" Target="https://maps.google.com/?q=17.986421,-96.795704" TargetMode="External"/><Relationship Id="rId3701" Type="http://schemas.openxmlformats.org/officeDocument/2006/relationships/hyperlink" Target="https://maps.google.com/?q=16.2073831,-97.532632" TargetMode="External"/><Relationship Id="rId208" Type="http://schemas.openxmlformats.org/officeDocument/2006/relationships/hyperlink" Target="https://maps.google.com/?q=15.906566120306,-96.221132376055" TargetMode="External"/><Relationship Id="rId415" Type="http://schemas.openxmlformats.org/officeDocument/2006/relationships/hyperlink" Target="https://maps.google.com/?q=17.539997224336,-97.737737732829" TargetMode="External"/><Relationship Id="rId622" Type="http://schemas.openxmlformats.org/officeDocument/2006/relationships/hyperlink" Target="https://maps.google.com/?q=17.04788269671,-96.720061011327" TargetMode="External"/><Relationship Id="rId1045" Type="http://schemas.openxmlformats.org/officeDocument/2006/relationships/hyperlink" Target="https://maps.google.com/?q=17.207464,-96.801094" TargetMode="External"/><Relationship Id="rId1252" Type="http://schemas.openxmlformats.org/officeDocument/2006/relationships/hyperlink" Target="https://maps.google.com/?q=18.014668434886,-97.657946979168" TargetMode="External"/><Relationship Id="rId2303" Type="http://schemas.openxmlformats.org/officeDocument/2006/relationships/hyperlink" Target="https://maps.google.com/?q=17.35683287,-96.52920497" TargetMode="External"/><Relationship Id="rId2510" Type="http://schemas.openxmlformats.org/officeDocument/2006/relationships/hyperlink" Target="https://maps.google.com/?q=16.26682,-96.308751" TargetMode="External"/><Relationship Id="rId1112" Type="http://schemas.openxmlformats.org/officeDocument/2006/relationships/hyperlink" Target="https://maps.google.com/?q=17.027353311909,-96.734444646233" TargetMode="External"/><Relationship Id="rId3077" Type="http://schemas.openxmlformats.org/officeDocument/2006/relationships/hyperlink" Target="https://maps.google.com/?q=16.306672,-97.563482" TargetMode="External"/><Relationship Id="rId3284" Type="http://schemas.openxmlformats.org/officeDocument/2006/relationships/hyperlink" Target="https://maps.google.com/?q=16.785606919538,-96.570160562525" TargetMode="External"/><Relationship Id="rId1929" Type="http://schemas.openxmlformats.org/officeDocument/2006/relationships/hyperlink" Target="https://maps.google.com/?q=16.779876,-96.037137" TargetMode="External"/><Relationship Id="rId2093" Type="http://schemas.openxmlformats.org/officeDocument/2006/relationships/hyperlink" Target="https://maps.google.com/?q=16.926300256343,-96.604263082454" TargetMode="External"/><Relationship Id="rId3491" Type="http://schemas.openxmlformats.org/officeDocument/2006/relationships/hyperlink" Target="https://maps.google.com/?q=16.78980092503,-96.554509573847" TargetMode="External"/><Relationship Id="rId3144" Type="http://schemas.openxmlformats.org/officeDocument/2006/relationships/hyperlink" Target="https://maps.google.com/?q=16.7803096,-96.57801957" TargetMode="External"/><Relationship Id="rId3351" Type="http://schemas.openxmlformats.org/officeDocument/2006/relationships/hyperlink" Target="https://maps.google.com/?q=16.785926920146,-96.570548563295" TargetMode="External"/><Relationship Id="rId272" Type="http://schemas.openxmlformats.org/officeDocument/2006/relationships/hyperlink" Target="https://maps.google.com/?q=17.458341,-97.225285" TargetMode="External"/><Relationship Id="rId2160" Type="http://schemas.openxmlformats.org/officeDocument/2006/relationships/hyperlink" Target="https://maps.google.com/?q=17.04969991,-96.63738286" TargetMode="External"/><Relationship Id="rId3004" Type="http://schemas.openxmlformats.org/officeDocument/2006/relationships/hyperlink" Target="https://maps.google.com/?q=17.290261949009,-98.011640948587" TargetMode="External"/><Relationship Id="rId3211" Type="http://schemas.openxmlformats.org/officeDocument/2006/relationships/hyperlink" Target="https://maps.google.com/?q=16.784927923809,-96.574429563706" TargetMode="External"/><Relationship Id="rId132" Type="http://schemas.openxmlformats.org/officeDocument/2006/relationships/hyperlink" Target="https://maps.google.com/?q=17.274061,-97.672386" TargetMode="External"/><Relationship Id="rId2020" Type="http://schemas.openxmlformats.org/officeDocument/2006/relationships/hyperlink" Target="https://maps.google.com/?q=16.78317,-96.031437" TargetMode="External"/><Relationship Id="rId1579" Type="http://schemas.openxmlformats.org/officeDocument/2006/relationships/hyperlink" Target="https://maps.google.com/?q=17.065868,-96.6937582" TargetMode="External"/><Relationship Id="rId2977" Type="http://schemas.openxmlformats.org/officeDocument/2006/relationships/hyperlink" Target="https://maps.google.com/?q=17.0604705944,-96.705490839" TargetMode="External"/><Relationship Id="rId949" Type="http://schemas.openxmlformats.org/officeDocument/2006/relationships/hyperlink" Target="https://maps.google.com/?q=17.345931827353,-96.621884752403" TargetMode="External"/><Relationship Id="rId1786" Type="http://schemas.openxmlformats.org/officeDocument/2006/relationships/hyperlink" Target="https://maps.google.com/?q=17.98508,-96.83261" TargetMode="External"/><Relationship Id="rId1993" Type="http://schemas.openxmlformats.org/officeDocument/2006/relationships/hyperlink" Target="https://maps.google.com/?q=16.782091,-96.032517" TargetMode="External"/><Relationship Id="rId2837" Type="http://schemas.openxmlformats.org/officeDocument/2006/relationships/hyperlink" Target="https://maps.google.com/?q=17.284941452394,-97.377139682207" TargetMode="External"/><Relationship Id="rId78" Type="http://schemas.openxmlformats.org/officeDocument/2006/relationships/hyperlink" Target="https://maps.google.com/?q=15.786279469359,-96.176117690433" TargetMode="External"/><Relationship Id="rId809" Type="http://schemas.openxmlformats.org/officeDocument/2006/relationships/hyperlink" Target="https://maps.google.com/?q=17.083497939426,-96.698166972607" TargetMode="External"/><Relationship Id="rId1439" Type="http://schemas.openxmlformats.org/officeDocument/2006/relationships/hyperlink" Target="https://maps.google.com/?q=18.081169,-96.118475" TargetMode="External"/><Relationship Id="rId1646" Type="http://schemas.openxmlformats.org/officeDocument/2006/relationships/hyperlink" Target="https://maps.google.com/?q=16.514808,-96.97773" TargetMode="External"/><Relationship Id="rId1853" Type="http://schemas.openxmlformats.org/officeDocument/2006/relationships/hyperlink" Target="https://maps.google.com/?q=16.068580236233,-96.299763970462" TargetMode="External"/><Relationship Id="rId2904" Type="http://schemas.openxmlformats.org/officeDocument/2006/relationships/hyperlink" Target="https://maps.google.com/?q=16.943947,-96.070797" TargetMode="External"/><Relationship Id="rId1506" Type="http://schemas.openxmlformats.org/officeDocument/2006/relationships/hyperlink" Target="https://maps.google.com/?q=15.746144,-96.465183" TargetMode="External"/><Relationship Id="rId1713" Type="http://schemas.openxmlformats.org/officeDocument/2006/relationships/hyperlink" Target="https://maps.google.com/?q=16.526622,-96.977382" TargetMode="External"/><Relationship Id="rId1920" Type="http://schemas.openxmlformats.org/officeDocument/2006/relationships/hyperlink" Target="https://maps.google.com/?q=16.779298,-96.033444" TargetMode="External"/><Relationship Id="rId3678" Type="http://schemas.openxmlformats.org/officeDocument/2006/relationships/hyperlink" Target="https://maps.google.com/?q=16.2070501,-97.5283231" TargetMode="External"/><Relationship Id="rId3885" Type="http://schemas.openxmlformats.org/officeDocument/2006/relationships/hyperlink" Target="https://maps.google.com/?q=16.856349,-94.742401" TargetMode="External"/><Relationship Id="rId599" Type="http://schemas.openxmlformats.org/officeDocument/2006/relationships/hyperlink" Target="https://maps.google.com/?q=17.046098337407,-96.718580876971" TargetMode="External"/><Relationship Id="rId2487" Type="http://schemas.openxmlformats.org/officeDocument/2006/relationships/hyperlink" Target="https://maps.google.com/?q=16.257832,-96.31712" TargetMode="External"/><Relationship Id="rId2694" Type="http://schemas.openxmlformats.org/officeDocument/2006/relationships/hyperlink" Target="https://maps.google.com/?q=17.068256433083,-96.735571662228" TargetMode="External"/><Relationship Id="rId3538" Type="http://schemas.openxmlformats.org/officeDocument/2006/relationships/hyperlink" Target="https://maps.google.com/?q=16.790988928761,-96.551951571901" TargetMode="External"/><Relationship Id="rId3745" Type="http://schemas.openxmlformats.org/officeDocument/2006/relationships/hyperlink" Target="https://maps.google.com/?q=16.2084001,-97.528233" TargetMode="External"/><Relationship Id="rId459" Type="http://schemas.openxmlformats.org/officeDocument/2006/relationships/hyperlink" Target="https://maps.google.com/?q=17.503582063159,-97.71981776147" TargetMode="External"/><Relationship Id="rId666" Type="http://schemas.openxmlformats.org/officeDocument/2006/relationships/hyperlink" Target="https://maps.google.com/?q=17.050724925807,-96.715395042792" TargetMode="External"/><Relationship Id="rId873" Type="http://schemas.openxmlformats.org/officeDocument/2006/relationships/hyperlink" Target="https://maps.google.com/?q=17.117594676191,-96.769418068335" TargetMode="External"/><Relationship Id="rId1089" Type="http://schemas.openxmlformats.org/officeDocument/2006/relationships/hyperlink" Target="https://maps.google.com/?q=17.12215,-96.76382" TargetMode="External"/><Relationship Id="rId1296" Type="http://schemas.openxmlformats.org/officeDocument/2006/relationships/hyperlink" Target="https://maps.google.com/?q=18.130634865397,-96.856907057707" TargetMode="External"/><Relationship Id="rId2347" Type="http://schemas.openxmlformats.org/officeDocument/2006/relationships/hyperlink" Target="https://maps.google.com/?q=17.37926345,-96.5033466" TargetMode="External"/><Relationship Id="rId2554" Type="http://schemas.openxmlformats.org/officeDocument/2006/relationships/hyperlink" Target="https://maps.google.com/?q=17.434212,-96.656955" TargetMode="External"/><Relationship Id="rId3952" Type="http://schemas.openxmlformats.org/officeDocument/2006/relationships/hyperlink" Target="https://maps.google.com/?q=16.88266974,-94.70890709" TargetMode="External"/><Relationship Id="rId319" Type="http://schemas.openxmlformats.org/officeDocument/2006/relationships/hyperlink" Target="https://maps.google.com/?q=17.009321499615,-97.700339748242" TargetMode="External"/><Relationship Id="rId526" Type="http://schemas.openxmlformats.org/officeDocument/2006/relationships/hyperlink" Target="https://maps.google.com/?q=16.398524511921,-97.809111895769" TargetMode="External"/><Relationship Id="rId1156" Type="http://schemas.openxmlformats.org/officeDocument/2006/relationships/hyperlink" Target="https://maps.google.com/?q=17.581008723018,-96.572981847885" TargetMode="External"/><Relationship Id="rId1363" Type="http://schemas.openxmlformats.org/officeDocument/2006/relationships/hyperlink" Target="https://maps.google.com/?q=17.216709779533,-95.441364642853" TargetMode="External"/><Relationship Id="rId2207" Type="http://schemas.openxmlformats.org/officeDocument/2006/relationships/hyperlink" Target="https://maps.google.com/?q=16.642904846646,-96.582676452681" TargetMode="External"/><Relationship Id="rId2761" Type="http://schemas.openxmlformats.org/officeDocument/2006/relationships/hyperlink" Target="https://maps.google.com/?q=17.785834,-96.803585" TargetMode="External"/><Relationship Id="rId3605" Type="http://schemas.openxmlformats.org/officeDocument/2006/relationships/hyperlink" Target="https://maps.google.com/?q=16.2053561,-97.523625" TargetMode="External"/><Relationship Id="rId3812" Type="http://schemas.openxmlformats.org/officeDocument/2006/relationships/hyperlink" Target="https://maps.google.com/?q=16.2105871,-97.527968" TargetMode="External"/><Relationship Id="rId733" Type="http://schemas.openxmlformats.org/officeDocument/2006/relationships/hyperlink" Target="https://maps.google.com/?q=17.059518947204,-96.727108361688" TargetMode="External"/><Relationship Id="rId940" Type="http://schemas.openxmlformats.org/officeDocument/2006/relationships/hyperlink" Target="https://maps.google.com/?q=16.446339419866,-98.004452574194" TargetMode="External"/><Relationship Id="rId1016" Type="http://schemas.openxmlformats.org/officeDocument/2006/relationships/hyperlink" Target="https://maps.google.com/?q=16.485332,-97.869548" TargetMode="External"/><Relationship Id="rId1570" Type="http://schemas.openxmlformats.org/officeDocument/2006/relationships/hyperlink" Target="https://maps.google.com/?q=17.0590258,-96.7055074" TargetMode="External"/><Relationship Id="rId2414" Type="http://schemas.openxmlformats.org/officeDocument/2006/relationships/hyperlink" Target="https://maps.google.com/?q=16.249899,-96.34573" TargetMode="External"/><Relationship Id="rId2621" Type="http://schemas.openxmlformats.org/officeDocument/2006/relationships/hyperlink" Target="https://maps.google.com/?q=17.06032641,-96.7045434" TargetMode="External"/><Relationship Id="rId800" Type="http://schemas.openxmlformats.org/officeDocument/2006/relationships/hyperlink" Target="https://maps.google.com/?q=17.082872966243,-96.695345494036" TargetMode="External"/><Relationship Id="rId1223" Type="http://schemas.openxmlformats.org/officeDocument/2006/relationships/hyperlink" Target="https://maps.google.com/?q=16.886159292814,-97.170199440302" TargetMode="External"/><Relationship Id="rId1430" Type="http://schemas.openxmlformats.org/officeDocument/2006/relationships/hyperlink" Target="https://maps.google.com/?q=17.335316,-98.012051" TargetMode="External"/><Relationship Id="rId3188" Type="http://schemas.openxmlformats.org/officeDocument/2006/relationships/hyperlink" Target="https://maps.google.com/?q=16.784629923423,-96.569406566241" TargetMode="External"/><Relationship Id="rId3395" Type="http://schemas.openxmlformats.org/officeDocument/2006/relationships/hyperlink" Target="https://maps.google.com/?q=16.786128928364,-96.559868570099" TargetMode="External"/><Relationship Id="rId3048" Type="http://schemas.openxmlformats.org/officeDocument/2006/relationships/hyperlink" Target="https://maps.google.com/?q=17.105051,-96.673692" TargetMode="External"/><Relationship Id="rId3255" Type="http://schemas.openxmlformats.org/officeDocument/2006/relationships/hyperlink" Target="https://maps.google.com/?q=16.7853602,-96.58590688" TargetMode="External"/><Relationship Id="rId3462" Type="http://schemas.openxmlformats.org/officeDocument/2006/relationships/hyperlink" Target="https://maps.google.com/?q=16.788718931355,-96.55184857027" TargetMode="External"/><Relationship Id="rId176" Type="http://schemas.openxmlformats.org/officeDocument/2006/relationships/hyperlink" Target="https://maps.google.com/?q=17.275122,-97.671607" TargetMode="External"/><Relationship Id="rId383" Type="http://schemas.openxmlformats.org/officeDocument/2006/relationships/hyperlink" Target="https://maps.google.com/?q=17.469908463115,-97.701189542328" TargetMode="External"/><Relationship Id="rId590" Type="http://schemas.openxmlformats.org/officeDocument/2006/relationships/hyperlink" Target="https://maps.google.com/?q=17.045579804626,-96.722416197922" TargetMode="External"/><Relationship Id="rId2064" Type="http://schemas.openxmlformats.org/officeDocument/2006/relationships/hyperlink" Target="https://maps.google.com/?q=16.784628,-96.030912" TargetMode="External"/><Relationship Id="rId2271" Type="http://schemas.openxmlformats.org/officeDocument/2006/relationships/hyperlink" Target="https://maps.google.com/?q=17.35256496,-96.52809592" TargetMode="External"/><Relationship Id="rId3115" Type="http://schemas.openxmlformats.org/officeDocument/2006/relationships/hyperlink" Target="https://maps.google.com/?q=17.975501,-96.70487" TargetMode="External"/><Relationship Id="rId3322" Type="http://schemas.openxmlformats.org/officeDocument/2006/relationships/hyperlink" Target="https://maps.google.com/?q=16.785812926006,-96.564690565049" TargetMode="External"/><Relationship Id="rId243" Type="http://schemas.openxmlformats.org/officeDocument/2006/relationships/hyperlink" Target="https://maps.google.com/?q=17.337041,-96.113857" TargetMode="External"/><Relationship Id="rId450" Type="http://schemas.openxmlformats.org/officeDocument/2006/relationships/hyperlink" Target="https://maps.google.com/?q=17.491262128323,-97.728364879258" TargetMode="External"/><Relationship Id="rId1080" Type="http://schemas.openxmlformats.org/officeDocument/2006/relationships/hyperlink" Target="https://maps.google.com/?q=17.108281,-96.754808" TargetMode="External"/><Relationship Id="rId2131" Type="http://schemas.openxmlformats.org/officeDocument/2006/relationships/hyperlink" Target="https://maps.google.com/?q=16.876722436922,-97.504760062497" TargetMode="External"/><Relationship Id="rId103" Type="http://schemas.openxmlformats.org/officeDocument/2006/relationships/hyperlink" Target="https://maps.google.com/?q=16.557047695428,-96.8207062168" TargetMode="External"/><Relationship Id="rId310" Type="http://schemas.openxmlformats.org/officeDocument/2006/relationships/hyperlink" Target="https://maps.google.com/?q=16.9415806,-96.7102773" TargetMode="External"/><Relationship Id="rId1897" Type="http://schemas.openxmlformats.org/officeDocument/2006/relationships/hyperlink" Target="https://maps.google.com/?q=16.778583,-96.03308" TargetMode="External"/><Relationship Id="rId2948" Type="http://schemas.openxmlformats.org/officeDocument/2006/relationships/hyperlink" Target="https://maps.google.com/?q=17.766902887754,-96.959034480763" TargetMode="External"/><Relationship Id="rId1757" Type="http://schemas.openxmlformats.org/officeDocument/2006/relationships/hyperlink" Target="https://maps.google.com/?q=16.561194,-97.537381" TargetMode="External"/><Relationship Id="rId1964" Type="http://schemas.openxmlformats.org/officeDocument/2006/relationships/hyperlink" Target="https://maps.google.com/?q=16.781164,-96.034422" TargetMode="External"/><Relationship Id="rId2808" Type="http://schemas.openxmlformats.org/officeDocument/2006/relationships/hyperlink" Target="https://maps.google.com/?q=17.800306,-96.817365" TargetMode="External"/><Relationship Id="rId49" Type="http://schemas.openxmlformats.org/officeDocument/2006/relationships/hyperlink" Target="https://maps.google.com/?q=16.479556,-94.35528" TargetMode="External"/><Relationship Id="rId1617" Type="http://schemas.openxmlformats.org/officeDocument/2006/relationships/hyperlink" Target="https://maps.google.com/?q=16.803535,-97.059048" TargetMode="External"/><Relationship Id="rId1824" Type="http://schemas.openxmlformats.org/officeDocument/2006/relationships/hyperlink" Target="https://maps.google.com/?q=17.02138,-96.716277" TargetMode="External"/><Relationship Id="rId3789" Type="http://schemas.openxmlformats.org/officeDocument/2006/relationships/hyperlink" Target="https://maps.google.com/?q=16.2092651,-97.5299105" TargetMode="External"/><Relationship Id="rId2598" Type="http://schemas.openxmlformats.org/officeDocument/2006/relationships/hyperlink" Target="https://maps.google.com/?q=17.091407573017,-96.73694757668" TargetMode="External"/><Relationship Id="rId3996" Type="http://schemas.openxmlformats.org/officeDocument/2006/relationships/hyperlink" Target="https://maps.google.com/?q=16.90019586,-94.69201946" TargetMode="External"/><Relationship Id="rId3649" Type="http://schemas.openxmlformats.org/officeDocument/2006/relationships/hyperlink" Target="https://maps.google.com/?q=16.2061011,-97.528069" TargetMode="External"/><Relationship Id="rId3856" Type="http://schemas.openxmlformats.org/officeDocument/2006/relationships/hyperlink" Target="https://maps.google.com/?q=17.028501464715,-96.710397561383" TargetMode="External"/><Relationship Id="rId777" Type="http://schemas.openxmlformats.org/officeDocument/2006/relationships/hyperlink" Target="https://maps.google.com/?q=17.080082777457,-96.743478148481" TargetMode="External"/><Relationship Id="rId984" Type="http://schemas.openxmlformats.org/officeDocument/2006/relationships/hyperlink" Target="https://maps.google.com/?q=17.096698,-97.108828" TargetMode="External"/><Relationship Id="rId2458" Type="http://schemas.openxmlformats.org/officeDocument/2006/relationships/hyperlink" Target="https://maps.google.com/?q=16.254528,-96.327266" TargetMode="External"/><Relationship Id="rId2665" Type="http://schemas.openxmlformats.org/officeDocument/2006/relationships/hyperlink" Target="https://maps.google.com/?q=17.060779591804,-96.714031209573" TargetMode="External"/><Relationship Id="rId2872" Type="http://schemas.openxmlformats.org/officeDocument/2006/relationships/hyperlink" Target="https://maps.google.com/?q=17.055854269338,-96.825578251105" TargetMode="External"/><Relationship Id="rId3509" Type="http://schemas.openxmlformats.org/officeDocument/2006/relationships/hyperlink" Target="https://maps.google.com/?q=16.79041892509,-96.553604576116" TargetMode="External"/><Relationship Id="rId3716" Type="http://schemas.openxmlformats.org/officeDocument/2006/relationships/hyperlink" Target="https://maps.google.com/?q=16.2077921,-97.529103" TargetMode="External"/><Relationship Id="rId3923" Type="http://schemas.openxmlformats.org/officeDocument/2006/relationships/hyperlink" Target="https://maps.google.com/?q=16.8641392,-94.72796909" TargetMode="External"/><Relationship Id="rId637" Type="http://schemas.openxmlformats.org/officeDocument/2006/relationships/hyperlink" Target="https://maps.google.com/?q=17.048914877486,-96.725931359021" TargetMode="External"/><Relationship Id="rId844" Type="http://schemas.openxmlformats.org/officeDocument/2006/relationships/hyperlink" Target="https://maps.google.com/?q=17.085731814359,-96.694297250543" TargetMode="External"/><Relationship Id="rId1267" Type="http://schemas.openxmlformats.org/officeDocument/2006/relationships/hyperlink" Target="https://maps.google.com/?q=17.342017550407,-95.322564373016" TargetMode="External"/><Relationship Id="rId1474" Type="http://schemas.openxmlformats.org/officeDocument/2006/relationships/hyperlink" Target="https://maps.google.com/?q=17.458341,-97.225285" TargetMode="External"/><Relationship Id="rId1681" Type="http://schemas.openxmlformats.org/officeDocument/2006/relationships/hyperlink" Target="https://maps.google.com/?q=16.523026,-96.978319" TargetMode="External"/><Relationship Id="rId2318" Type="http://schemas.openxmlformats.org/officeDocument/2006/relationships/hyperlink" Target="https://maps.google.com/?q=17.36917882,-96.5080264" TargetMode="External"/><Relationship Id="rId2525" Type="http://schemas.openxmlformats.org/officeDocument/2006/relationships/hyperlink" Target="https://maps.google.com/?q=16.270847,-96.31008" TargetMode="External"/><Relationship Id="rId2732" Type="http://schemas.openxmlformats.org/officeDocument/2006/relationships/hyperlink" Target="https://maps.google.com/?q=17.063660497728,-96.70449086993" TargetMode="External"/><Relationship Id="rId704" Type="http://schemas.openxmlformats.org/officeDocument/2006/relationships/hyperlink" Target="https://maps.google.com/?q=17.05307371891,-96.716160738121" TargetMode="External"/><Relationship Id="rId911" Type="http://schemas.openxmlformats.org/officeDocument/2006/relationships/hyperlink" Target="https://maps.google.com/?q=16.812225,-97.704625" TargetMode="External"/><Relationship Id="rId1127" Type="http://schemas.openxmlformats.org/officeDocument/2006/relationships/hyperlink" Target="https://maps.google.com/?q=17.076800372569,-96.74719462111" TargetMode="External"/><Relationship Id="rId1334" Type="http://schemas.openxmlformats.org/officeDocument/2006/relationships/hyperlink" Target="https://maps.google.com/?q=17.904237262677,-97.697216635582" TargetMode="External"/><Relationship Id="rId1541" Type="http://schemas.openxmlformats.org/officeDocument/2006/relationships/hyperlink" Target="https://maps.google.com/?q=17.422444,-97.315024" TargetMode="External"/><Relationship Id="rId40" Type="http://schemas.openxmlformats.org/officeDocument/2006/relationships/hyperlink" Target="https://maps.google.com/?q=18.081169,-96.118475" TargetMode="External"/><Relationship Id="rId1401" Type="http://schemas.openxmlformats.org/officeDocument/2006/relationships/hyperlink" Target="https://maps.google.com/?q=17.419973,-97.578894" TargetMode="External"/><Relationship Id="rId3299" Type="http://schemas.openxmlformats.org/officeDocument/2006/relationships/hyperlink" Target="https://maps.google.com/?q=16.785662917053,-96.57391456472" TargetMode="External"/><Relationship Id="rId3159" Type="http://schemas.openxmlformats.org/officeDocument/2006/relationships/hyperlink" Target="https://maps.google.com/?q=16.78338492492,-96.568040565198" TargetMode="External"/><Relationship Id="rId3366" Type="http://schemas.openxmlformats.org/officeDocument/2006/relationships/hyperlink" Target="https://maps.google.com/?q=16.78598292398,-96.561664566867" TargetMode="External"/><Relationship Id="rId3573" Type="http://schemas.openxmlformats.org/officeDocument/2006/relationships/hyperlink" Target="https://maps.google.com/?q=16.2045881,-97.5288319" TargetMode="External"/><Relationship Id="rId287" Type="http://schemas.openxmlformats.org/officeDocument/2006/relationships/hyperlink" Target="https://maps.google.com/?q=17.989666,-96.830519" TargetMode="External"/><Relationship Id="rId494" Type="http://schemas.openxmlformats.org/officeDocument/2006/relationships/hyperlink" Target="https://maps.google.com/?q=17.527342431518,-97.795294373997" TargetMode="External"/><Relationship Id="rId2175" Type="http://schemas.openxmlformats.org/officeDocument/2006/relationships/hyperlink" Target="https://maps.google.com/?q=17.05042423,-96.63653616" TargetMode="External"/><Relationship Id="rId2382" Type="http://schemas.openxmlformats.org/officeDocument/2006/relationships/hyperlink" Target="https://maps.google.com/?q=16.246081,-96.346227" TargetMode="External"/><Relationship Id="rId3019" Type="http://schemas.openxmlformats.org/officeDocument/2006/relationships/hyperlink" Target="https://maps.google.com/?q=16.299463,-96.770548" TargetMode="External"/><Relationship Id="rId3226" Type="http://schemas.openxmlformats.org/officeDocument/2006/relationships/hyperlink" Target="https://maps.google.com/?q=16.785075921286,-96.566108566328" TargetMode="External"/><Relationship Id="rId3780" Type="http://schemas.openxmlformats.org/officeDocument/2006/relationships/hyperlink" Target="https://maps.google.com/?q=16.2090071,-97.529895" TargetMode="External"/><Relationship Id="rId147" Type="http://schemas.openxmlformats.org/officeDocument/2006/relationships/hyperlink" Target="https://maps.google.com/?q=17.26967,-97.673875" TargetMode="External"/><Relationship Id="rId354" Type="http://schemas.openxmlformats.org/officeDocument/2006/relationships/hyperlink" Target="https://maps.google.com/?q=17.017471929052,-97.663676304659" TargetMode="External"/><Relationship Id="rId1191" Type="http://schemas.openxmlformats.org/officeDocument/2006/relationships/hyperlink" Target="https://maps.google.com/?q=17.179064708149,-96.762524139881" TargetMode="External"/><Relationship Id="rId2035" Type="http://schemas.openxmlformats.org/officeDocument/2006/relationships/hyperlink" Target="https://maps.google.com/?q=16.783601,-96.032792" TargetMode="External"/><Relationship Id="rId3433" Type="http://schemas.openxmlformats.org/officeDocument/2006/relationships/hyperlink" Target="https://maps.google.com/?q=16.787071928237,-96.556186571128" TargetMode="External"/><Relationship Id="rId3640" Type="http://schemas.openxmlformats.org/officeDocument/2006/relationships/hyperlink" Target="https://maps.google.com/?q=16.2058251,-97.528845" TargetMode="External"/><Relationship Id="rId561" Type="http://schemas.openxmlformats.org/officeDocument/2006/relationships/hyperlink" Target="https://maps.google.com/?q=17.034890532427,-96.714755336742" TargetMode="External"/><Relationship Id="rId2242" Type="http://schemas.openxmlformats.org/officeDocument/2006/relationships/hyperlink" Target="https://maps.google.com/?q=17.34884405,-96.53105195" TargetMode="External"/><Relationship Id="rId3500" Type="http://schemas.openxmlformats.org/officeDocument/2006/relationships/hyperlink" Target="https://maps.google.com/?q=16.790081927841,-96.551712578482" TargetMode="External"/><Relationship Id="rId214" Type="http://schemas.openxmlformats.org/officeDocument/2006/relationships/hyperlink" Target="https://maps.google.com/?q=15.908458115753,-96.217270551921" TargetMode="External"/><Relationship Id="rId421" Type="http://schemas.openxmlformats.org/officeDocument/2006/relationships/hyperlink" Target="https://maps.google.com/?q=17.500808599367,-97.728943825641" TargetMode="External"/><Relationship Id="rId1051" Type="http://schemas.openxmlformats.org/officeDocument/2006/relationships/hyperlink" Target="https://maps.google.com/?q=17.458341,-97.225285" TargetMode="External"/><Relationship Id="rId2102" Type="http://schemas.openxmlformats.org/officeDocument/2006/relationships/hyperlink" Target="https://maps.google.com/?q=16.928481908963,-96.606645837338" TargetMode="External"/><Relationship Id="rId1868" Type="http://schemas.openxmlformats.org/officeDocument/2006/relationships/hyperlink" Target="https://maps.google.com/?q=16.070933080339,-96.302108826594" TargetMode="External"/><Relationship Id="rId2919" Type="http://schemas.openxmlformats.org/officeDocument/2006/relationships/hyperlink" Target="https://maps.google.com/?q=17.160467,-97.729183" TargetMode="External"/><Relationship Id="rId3083" Type="http://schemas.openxmlformats.org/officeDocument/2006/relationships/hyperlink" Target="https://maps.google.com/?q=15.958691,-96.710948" TargetMode="External"/><Relationship Id="rId3290" Type="http://schemas.openxmlformats.org/officeDocument/2006/relationships/hyperlink" Target="https://maps.google.com/?q=16.78563892334,-96.573946563815" TargetMode="External"/><Relationship Id="rId1728" Type="http://schemas.openxmlformats.org/officeDocument/2006/relationships/hyperlink" Target="https://maps.google.com/?q=16.79708,-96.460145" TargetMode="External"/><Relationship Id="rId1935" Type="http://schemas.openxmlformats.org/officeDocument/2006/relationships/hyperlink" Target="https://maps.google.com/?q=16.780046,-96.03551" TargetMode="External"/><Relationship Id="rId3150" Type="http://schemas.openxmlformats.org/officeDocument/2006/relationships/hyperlink" Target="https://maps.google.com/?q=16.78085678,-96.57720453" TargetMode="External"/><Relationship Id="rId3010" Type="http://schemas.openxmlformats.org/officeDocument/2006/relationships/hyperlink" Target="https://maps.google.com/?q=17.962987285733,-96.127276621129" TargetMode="External"/><Relationship Id="rId3967" Type="http://schemas.openxmlformats.org/officeDocument/2006/relationships/hyperlink" Target="https://maps.google.com/?q=16.8907891,-94.70399634" TargetMode="External"/><Relationship Id="rId4" Type="http://schemas.openxmlformats.org/officeDocument/2006/relationships/hyperlink" Target="https://maps.google.com/?q=16.340448053908,-98.44762096639" TargetMode="External"/><Relationship Id="rId888" Type="http://schemas.openxmlformats.org/officeDocument/2006/relationships/hyperlink" Target="https://maps.google.com/?q=17.122700697123,-96.759227937213" TargetMode="External"/><Relationship Id="rId2569" Type="http://schemas.openxmlformats.org/officeDocument/2006/relationships/hyperlink" Target="https://maps.google.com/?q=17.088895054,-96.737563965" TargetMode="External"/><Relationship Id="rId2776" Type="http://schemas.openxmlformats.org/officeDocument/2006/relationships/hyperlink" Target="https://maps.google.com/?q=17.788016,-96.808103" TargetMode="External"/><Relationship Id="rId2983" Type="http://schemas.openxmlformats.org/officeDocument/2006/relationships/hyperlink" Target="https://maps.google.com/?q=17.0614042596,-96.7062149278" TargetMode="External"/><Relationship Id="rId3827" Type="http://schemas.openxmlformats.org/officeDocument/2006/relationships/hyperlink" Target="https://maps.google.com/?q=17.290348,-96.908198" TargetMode="External"/><Relationship Id="rId748" Type="http://schemas.openxmlformats.org/officeDocument/2006/relationships/hyperlink" Target="https://maps.google.com/?q=17.062432268591,-96.731856028642" TargetMode="External"/><Relationship Id="rId955" Type="http://schemas.openxmlformats.org/officeDocument/2006/relationships/hyperlink" Target="https://maps.google.com/?q=16.512044976839,-98.343489160622" TargetMode="External"/><Relationship Id="rId1378" Type="http://schemas.openxmlformats.org/officeDocument/2006/relationships/hyperlink" Target="https://maps.google.com/?q=16.014286298134,-96.278465210976" TargetMode="External"/><Relationship Id="rId1585" Type="http://schemas.openxmlformats.org/officeDocument/2006/relationships/hyperlink" Target="https://maps.google.com/?q=17.026544,-96.7127528" TargetMode="External"/><Relationship Id="rId1792" Type="http://schemas.openxmlformats.org/officeDocument/2006/relationships/hyperlink" Target="https://maps.google.com/?q=17.987005,-96.83076" TargetMode="External"/><Relationship Id="rId2429" Type="http://schemas.openxmlformats.org/officeDocument/2006/relationships/hyperlink" Target="https://maps.google.com/?q=16.250722,-96.339415" TargetMode="External"/><Relationship Id="rId2636" Type="http://schemas.openxmlformats.org/officeDocument/2006/relationships/hyperlink" Target="https://maps.google.com/?q=16.531231258259,-96.48166084527" TargetMode="External"/><Relationship Id="rId2843" Type="http://schemas.openxmlformats.org/officeDocument/2006/relationships/hyperlink" Target="https://maps.google.com/?q=17.285914476538,-97.367181259924" TargetMode="External"/><Relationship Id="rId84" Type="http://schemas.openxmlformats.org/officeDocument/2006/relationships/hyperlink" Target="https://maps.google.com/?q=17.004140556901,-96.721315826321" TargetMode="External"/><Relationship Id="rId608" Type="http://schemas.openxmlformats.org/officeDocument/2006/relationships/hyperlink" Target="https://maps.google.com/?q=17.046842748469,-96.727472483842" TargetMode="External"/><Relationship Id="rId815" Type="http://schemas.openxmlformats.org/officeDocument/2006/relationships/hyperlink" Target="https://maps.google.com/?q=17.083643154714,-96.699230407236" TargetMode="External"/><Relationship Id="rId1238" Type="http://schemas.openxmlformats.org/officeDocument/2006/relationships/hyperlink" Target="https://maps.google.com/?q=15.795651408481,-96.677296202959" TargetMode="External"/><Relationship Id="rId1445" Type="http://schemas.openxmlformats.org/officeDocument/2006/relationships/hyperlink" Target="https://maps.google.com/?q=16.564244,-96.731829" TargetMode="External"/><Relationship Id="rId1652" Type="http://schemas.openxmlformats.org/officeDocument/2006/relationships/hyperlink" Target="https://maps.google.com/?q=16.516188,-96.977519" TargetMode="External"/><Relationship Id="rId1305" Type="http://schemas.openxmlformats.org/officeDocument/2006/relationships/hyperlink" Target="https://maps.google.com/?q=15.862502,-97.071296" TargetMode="External"/><Relationship Id="rId2703" Type="http://schemas.openxmlformats.org/officeDocument/2006/relationships/hyperlink" Target="https://maps.google.com/?q=17.074267760252,-96.71629899059" TargetMode="External"/><Relationship Id="rId2910" Type="http://schemas.openxmlformats.org/officeDocument/2006/relationships/hyperlink" Target="https://maps.google.com/?q=16.724192,-97.866983" TargetMode="External"/><Relationship Id="rId1512" Type="http://schemas.openxmlformats.org/officeDocument/2006/relationships/hyperlink" Target="https://maps.google.com/?q=16.500512,-96.10679" TargetMode="External"/><Relationship Id="rId11" Type="http://schemas.openxmlformats.org/officeDocument/2006/relationships/hyperlink" Target="https://maps.google.com/?q=16.510499417992,-98.162896701718" TargetMode="External"/><Relationship Id="rId398" Type="http://schemas.openxmlformats.org/officeDocument/2006/relationships/hyperlink" Target="https://maps.google.com/?q=17.520289839429,-97.735379909804" TargetMode="External"/><Relationship Id="rId2079" Type="http://schemas.openxmlformats.org/officeDocument/2006/relationships/hyperlink" Target="https://maps.google.com/?q=16.785989,-96.030567" TargetMode="External"/><Relationship Id="rId3477" Type="http://schemas.openxmlformats.org/officeDocument/2006/relationships/hyperlink" Target="https://maps.google.com/?q=16.789297930917,-96.553698577547" TargetMode="External"/><Relationship Id="rId3684" Type="http://schemas.openxmlformats.org/officeDocument/2006/relationships/hyperlink" Target="https://maps.google.com/?q=16.2070651,-97.527941" TargetMode="External"/><Relationship Id="rId3891" Type="http://schemas.openxmlformats.org/officeDocument/2006/relationships/hyperlink" Target="https://maps.google.com/?q=16.85736068,-94.73882109" TargetMode="External"/><Relationship Id="rId2286" Type="http://schemas.openxmlformats.org/officeDocument/2006/relationships/hyperlink" Target="https://maps.google.com/?q=17.3552043,-96.53556601" TargetMode="External"/><Relationship Id="rId2493" Type="http://schemas.openxmlformats.org/officeDocument/2006/relationships/hyperlink" Target="https://maps.google.com/?q=16.260388,-96.314663" TargetMode="External"/><Relationship Id="rId3337" Type="http://schemas.openxmlformats.org/officeDocument/2006/relationships/hyperlink" Target="https://maps.google.com/?q=16.785897918573,-96.577019562923" TargetMode="External"/><Relationship Id="rId3544" Type="http://schemas.openxmlformats.org/officeDocument/2006/relationships/hyperlink" Target="https://maps.google.com/?q=16.791070930352,-96.554404572017" TargetMode="External"/><Relationship Id="rId3751" Type="http://schemas.openxmlformats.org/officeDocument/2006/relationships/hyperlink" Target="https://maps.google.com/?q=16.2084991,-97.532865" TargetMode="External"/><Relationship Id="rId258" Type="http://schemas.openxmlformats.org/officeDocument/2006/relationships/hyperlink" Target="https://maps.google.com/?q=16.564244,-96.731829" TargetMode="External"/><Relationship Id="rId465" Type="http://schemas.openxmlformats.org/officeDocument/2006/relationships/hyperlink" Target="https://maps.google.com/?q=17.48921224809,-97.717661627791" TargetMode="External"/><Relationship Id="rId672" Type="http://schemas.openxmlformats.org/officeDocument/2006/relationships/hyperlink" Target="https://maps.google.com/?q=17.0509574,-96.7070766" TargetMode="External"/><Relationship Id="rId1095" Type="http://schemas.openxmlformats.org/officeDocument/2006/relationships/hyperlink" Target="https://maps.google.com/?q=17.071544120503,-96.715912270785" TargetMode="External"/><Relationship Id="rId2146" Type="http://schemas.openxmlformats.org/officeDocument/2006/relationships/hyperlink" Target="https://maps.google.com/?q=16.878542342018,-97.503994860039" TargetMode="External"/><Relationship Id="rId2353" Type="http://schemas.openxmlformats.org/officeDocument/2006/relationships/hyperlink" Target="https://maps.google.com/?q=17.37950804,-96.50557261" TargetMode="External"/><Relationship Id="rId2560" Type="http://schemas.openxmlformats.org/officeDocument/2006/relationships/hyperlink" Target="https://maps.google.com/?q=17.0877869664,-96.737669828" TargetMode="External"/><Relationship Id="rId3404" Type="http://schemas.openxmlformats.org/officeDocument/2006/relationships/hyperlink" Target="https://maps.google.com/?q=16.786297923598,-96.559999573392" TargetMode="External"/><Relationship Id="rId3611" Type="http://schemas.openxmlformats.org/officeDocument/2006/relationships/hyperlink" Target="https://maps.google.com/?q=16.2054071,-97.5237951" TargetMode="External"/><Relationship Id="rId118" Type="http://schemas.openxmlformats.org/officeDocument/2006/relationships/hyperlink" Target="https://maps.google.com/?q=16.541393970159,-98.063075928579" TargetMode="External"/><Relationship Id="rId325" Type="http://schemas.openxmlformats.org/officeDocument/2006/relationships/hyperlink" Target="https://maps.google.com/?q=17.028050657228,-97.648466797909" TargetMode="External"/><Relationship Id="rId532" Type="http://schemas.openxmlformats.org/officeDocument/2006/relationships/hyperlink" Target="https://maps.google.com/?q=17.071544120503,-96.715912270785" TargetMode="External"/><Relationship Id="rId1162" Type="http://schemas.openxmlformats.org/officeDocument/2006/relationships/hyperlink" Target="https://maps.google.com/?q=17.821398991619,-97.788644136246" TargetMode="External"/><Relationship Id="rId2006" Type="http://schemas.openxmlformats.org/officeDocument/2006/relationships/hyperlink" Target="https://maps.google.com/?q=16.782938,-96.032466" TargetMode="External"/><Relationship Id="rId2213" Type="http://schemas.openxmlformats.org/officeDocument/2006/relationships/hyperlink" Target="https://maps.google.com/?q=16.64410284434,-96.571175440547" TargetMode="External"/><Relationship Id="rId2420" Type="http://schemas.openxmlformats.org/officeDocument/2006/relationships/hyperlink" Target="https://maps.google.com/?q=16.250198,-96.343356" TargetMode="External"/><Relationship Id="rId1022" Type="http://schemas.openxmlformats.org/officeDocument/2006/relationships/hyperlink" Target="https://maps.google.com/?q=17.0306,-96.716024" TargetMode="External"/><Relationship Id="rId1979" Type="http://schemas.openxmlformats.org/officeDocument/2006/relationships/hyperlink" Target="https://maps.google.com/?q=16.781532,-96.03386" TargetMode="External"/><Relationship Id="rId3194" Type="http://schemas.openxmlformats.org/officeDocument/2006/relationships/hyperlink" Target="https://maps.google.com/?q=16.784713922991,-96.575181567563" TargetMode="External"/><Relationship Id="rId1839" Type="http://schemas.openxmlformats.org/officeDocument/2006/relationships/hyperlink" Target="https://maps.google.com/?q=17.935960690608,-97.67640291765" TargetMode="External"/><Relationship Id="rId3054" Type="http://schemas.openxmlformats.org/officeDocument/2006/relationships/hyperlink" Target="https://maps.google.com/?q=17.309161929819,-96.915833509262" TargetMode="External"/><Relationship Id="rId182" Type="http://schemas.openxmlformats.org/officeDocument/2006/relationships/hyperlink" Target="https://maps.google.com/?q=17.276389877607,-97.671283201223" TargetMode="External"/><Relationship Id="rId1906" Type="http://schemas.openxmlformats.org/officeDocument/2006/relationships/hyperlink" Target="https://maps.google.com/?q=16.778922,-96.036235" TargetMode="External"/><Relationship Id="rId3261" Type="http://schemas.openxmlformats.org/officeDocument/2006/relationships/hyperlink" Target="https://maps.google.com/?q=16.785396916027,-96.576670566671" TargetMode="External"/><Relationship Id="rId2070" Type="http://schemas.openxmlformats.org/officeDocument/2006/relationships/hyperlink" Target="https://maps.google.com/?q=16.785151,-96.030756" TargetMode="External"/><Relationship Id="rId3121" Type="http://schemas.openxmlformats.org/officeDocument/2006/relationships/hyperlink" Target="https://maps.google.com/?q=17.976351,-96.703415" TargetMode="External"/><Relationship Id="rId999" Type="http://schemas.openxmlformats.org/officeDocument/2006/relationships/hyperlink" Target="https://maps.google.com/?q=17.464718,-97.349979" TargetMode="External"/><Relationship Id="rId2887" Type="http://schemas.openxmlformats.org/officeDocument/2006/relationships/hyperlink" Target="https://maps.google.com/?q=17.057642819554,-96.821806608445" TargetMode="External"/><Relationship Id="rId859" Type="http://schemas.openxmlformats.org/officeDocument/2006/relationships/hyperlink" Target="https://maps.google.com/?q=17.097180513882,-96.714142240385" TargetMode="External"/><Relationship Id="rId1489" Type="http://schemas.openxmlformats.org/officeDocument/2006/relationships/hyperlink" Target="https://maps.google.com/?q=17.051853,-96.731652" TargetMode="External"/><Relationship Id="rId1696" Type="http://schemas.openxmlformats.org/officeDocument/2006/relationships/hyperlink" Target="https://maps.google.com/?q=16.524719,-96.977711" TargetMode="External"/><Relationship Id="rId3938" Type="http://schemas.openxmlformats.org/officeDocument/2006/relationships/hyperlink" Target="https://maps.google.com/?q=16.87225264,-94.72488018" TargetMode="External"/><Relationship Id="rId1349" Type="http://schemas.openxmlformats.org/officeDocument/2006/relationships/hyperlink" Target="https://maps.google.com/?q=17.176282612748,-97.79838664418" TargetMode="External"/><Relationship Id="rId2747" Type="http://schemas.openxmlformats.org/officeDocument/2006/relationships/hyperlink" Target="https://maps.google.com/?q=17.784817,-96.802391" TargetMode="External"/><Relationship Id="rId2954" Type="http://schemas.openxmlformats.org/officeDocument/2006/relationships/hyperlink" Target="https://maps.google.com/?q=17.647770590361,-96.914617891615" TargetMode="External"/><Relationship Id="rId719" Type="http://schemas.openxmlformats.org/officeDocument/2006/relationships/hyperlink" Target="https://maps.google.com/?q=17.057576521762,-96.74203982726" TargetMode="External"/><Relationship Id="rId926" Type="http://schemas.openxmlformats.org/officeDocument/2006/relationships/hyperlink" Target="https://maps.google.com/?q=17.075642408318,-96.715907502755" TargetMode="External"/><Relationship Id="rId1556" Type="http://schemas.openxmlformats.org/officeDocument/2006/relationships/hyperlink" Target="https://maps.google.com/?q=16.336635,-95.229425" TargetMode="External"/><Relationship Id="rId1763" Type="http://schemas.openxmlformats.org/officeDocument/2006/relationships/hyperlink" Target="https://maps.google.com/?q=17.02530612,-96.7130499" TargetMode="External"/><Relationship Id="rId1970" Type="http://schemas.openxmlformats.org/officeDocument/2006/relationships/hyperlink" Target="https://maps.google.com/?q=16.781297,-96.033128" TargetMode="External"/><Relationship Id="rId2607" Type="http://schemas.openxmlformats.org/officeDocument/2006/relationships/hyperlink" Target="https://maps.google.com/?q=17.092199771595,-96.738480459131" TargetMode="External"/><Relationship Id="rId2814" Type="http://schemas.openxmlformats.org/officeDocument/2006/relationships/hyperlink" Target="https://maps.google.com/?q=17.276609363289,-97.365623454212" TargetMode="External"/><Relationship Id="rId55" Type="http://schemas.openxmlformats.org/officeDocument/2006/relationships/hyperlink" Target="https://maps.google.com/?q=17.026396,-96.77408" TargetMode="External"/><Relationship Id="rId1209" Type="http://schemas.openxmlformats.org/officeDocument/2006/relationships/hyperlink" Target="https://maps.google.com/?q=17.008562267058,-96.814192647989" TargetMode="External"/><Relationship Id="rId1416" Type="http://schemas.openxmlformats.org/officeDocument/2006/relationships/hyperlink" Target="https://maps.google.com/?q=16.433347,-95.021687" TargetMode="External"/><Relationship Id="rId1623" Type="http://schemas.openxmlformats.org/officeDocument/2006/relationships/hyperlink" Target="https://maps.google.com/?q=18.403653,-96.511984" TargetMode="External"/><Relationship Id="rId1830" Type="http://schemas.openxmlformats.org/officeDocument/2006/relationships/hyperlink" Target="https://maps.google.com/?q=17.926118259898,-97.675462460095" TargetMode="External"/><Relationship Id="rId3588" Type="http://schemas.openxmlformats.org/officeDocument/2006/relationships/hyperlink" Target="https://maps.google.com/?q=16.2050181,-97.529486" TargetMode="External"/><Relationship Id="rId3795" Type="http://schemas.openxmlformats.org/officeDocument/2006/relationships/hyperlink" Target="https://maps.google.com/?q=16.2095201,-97.52741" TargetMode="External"/><Relationship Id="rId2397" Type="http://schemas.openxmlformats.org/officeDocument/2006/relationships/hyperlink" Target="https://maps.google.com/?q=16.249071,-96.340151" TargetMode="External"/><Relationship Id="rId3448" Type="http://schemas.openxmlformats.org/officeDocument/2006/relationships/hyperlink" Target="https://maps.google.com/?q=16.788602929581,-96.553199573114" TargetMode="External"/><Relationship Id="rId3655" Type="http://schemas.openxmlformats.org/officeDocument/2006/relationships/hyperlink" Target="https://maps.google.com/?q=16.2062391,-97.527339" TargetMode="External"/><Relationship Id="rId3862" Type="http://schemas.openxmlformats.org/officeDocument/2006/relationships/hyperlink" Target="https://maps.google.com/?q=17.0613698749,-96.70616174" TargetMode="External"/><Relationship Id="rId369" Type="http://schemas.openxmlformats.org/officeDocument/2006/relationships/hyperlink" Target="https://maps.google.com/?q=17.041231,-96.727962" TargetMode="External"/><Relationship Id="rId576" Type="http://schemas.openxmlformats.org/officeDocument/2006/relationships/hyperlink" Target="https://maps.google.com/?q=17.04351111231,-96.719471809609" TargetMode="External"/><Relationship Id="rId783" Type="http://schemas.openxmlformats.org/officeDocument/2006/relationships/hyperlink" Target="https://maps.google.com/?q=17.081763706561,-96.695239300316" TargetMode="External"/><Relationship Id="rId990" Type="http://schemas.openxmlformats.org/officeDocument/2006/relationships/hyperlink" Target="https://maps.google.com/?q=17.463518,-97.343644" TargetMode="External"/><Relationship Id="rId2257" Type="http://schemas.openxmlformats.org/officeDocument/2006/relationships/hyperlink" Target="https://maps.google.com/?q=17.35088674,-96.52824069" TargetMode="External"/><Relationship Id="rId2464" Type="http://schemas.openxmlformats.org/officeDocument/2006/relationships/hyperlink" Target="https://maps.google.com/?q=16.25481,-96.336547" TargetMode="External"/><Relationship Id="rId2671" Type="http://schemas.openxmlformats.org/officeDocument/2006/relationships/hyperlink" Target="https://maps.google.com/?q=17.06235142502,-96.709530462846" TargetMode="External"/><Relationship Id="rId3308" Type="http://schemas.openxmlformats.org/officeDocument/2006/relationships/hyperlink" Target="https://maps.google.com/?q=16.785749923937,-96.564594569865" TargetMode="External"/><Relationship Id="rId3515" Type="http://schemas.openxmlformats.org/officeDocument/2006/relationships/hyperlink" Target="https://maps.google.com/?q=16.790617929748,-96.551912574824" TargetMode="External"/><Relationship Id="rId229" Type="http://schemas.openxmlformats.org/officeDocument/2006/relationships/hyperlink" Target="https://maps.google.com/?q=15.910913360576,-96.212971580574" TargetMode="External"/><Relationship Id="rId436" Type="http://schemas.openxmlformats.org/officeDocument/2006/relationships/hyperlink" Target="https://maps.google.com/?q=17.507942648882,-97.708688053202" TargetMode="External"/><Relationship Id="rId643" Type="http://schemas.openxmlformats.org/officeDocument/2006/relationships/hyperlink" Target="https://maps.google.com/?q=17.049562998233,-96.723878716369" TargetMode="External"/><Relationship Id="rId1066" Type="http://schemas.openxmlformats.org/officeDocument/2006/relationships/hyperlink" Target="https://maps.google.com/?q=17.082936,-96.743906" TargetMode="External"/><Relationship Id="rId1273" Type="http://schemas.openxmlformats.org/officeDocument/2006/relationships/hyperlink" Target="https://maps.google.com/?q=16.328112978159,-96.410169218308" TargetMode="External"/><Relationship Id="rId1480" Type="http://schemas.openxmlformats.org/officeDocument/2006/relationships/hyperlink" Target="https://maps.google.com/?q=18.081169,-96.118475" TargetMode="External"/><Relationship Id="rId2117" Type="http://schemas.openxmlformats.org/officeDocument/2006/relationships/hyperlink" Target="https://maps.google.com/?q=16.874618488417,-97.503753570384" TargetMode="External"/><Relationship Id="rId2324" Type="http://schemas.openxmlformats.org/officeDocument/2006/relationships/hyperlink" Target="https://maps.google.com/?q=17.37214321,-96.50817441" TargetMode="External"/><Relationship Id="rId3722" Type="http://schemas.openxmlformats.org/officeDocument/2006/relationships/hyperlink" Target="https://maps.google.com/?q=16.2079541,-97.52824" TargetMode="External"/><Relationship Id="rId850" Type="http://schemas.openxmlformats.org/officeDocument/2006/relationships/hyperlink" Target="https://maps.google.com/?q=17.086231288638,-96.695171182917" TargetMode="External"/><Relationship Id="rId1133" Type="http://schemas.openxmlformats.org/officeDocument/2006/relationships/hyperlink" Target="https://maps.google.com/?q=18.515366883027,-96.518082843964" TargetMode="External"/><Relationship Id="rId2531" Type="http://schemas.openxmlformats.org/officeDocument/2006/relationships/hyperlink" Target="https://maps.google.com/?q=16.271225,-96.309629" TargetMode="External"/><Relationship Id="rId503" Type="http://schemas.openxmlformats.org/officeDocument/2006/relationships/hyperlink" Target="https://maps.google.com/?q=17.530174809802,-97.79345782209" TargetMode="External"/><Relationship Id="rId710" Type="http://schemas.openxmlformats.org/officeDocument/2006/relationships/hyperlink" Target="https://maps.google.com/?q=17.055196247919,-96.729975525643" TargetMode="External"/><Relationship Id="rId1340" Type="http://schemas.openxmlformats.org/officeDocument/2006/relationships/hyperlink" Target="https://maps.google.com/?q=17.433755583502,-97.936295514051" TargetMode="External"/><Relationship Id="rId3098" Type="http://schemas.openxmlformats.org/officeDocument/2006/relationships/hyperlink" Target="https://maps.google.com/?q=17.970776,-96.688791" TargetMode="External"/><Relationship Id="rId1200" Type="http://schemas.openxmlformats.org/officeDocument/2006/relationships/hyperlink" Target="https://maps.google.com/?q=17.01251638672,-96.418055217266" TargetMode="External"/><Relationship Id="rId3165" Type="http://schemas.openxmlformats.org/officeDocument/2006/relationships/hyperlink" Target="https://maps.google.com/?q=16.783587923537,-96.566837571158" TargetMode="External"/><Relationship Id="rId3372" Type="http://schemas.openxmlformats.org/officeDocument/2006/relationships/hyperlink" Target="https://maps.google.com/?q=16.786010925752,-96.561863573105" TargetMode="External"/><Relationship Id="rId4009" Type="http://schemas.openxmlformats.org/officeDocument/2006/relationships/hyperlink" Target="https://maps.google.com/?q=17.417575,-96.248442" TargetMode="External"/><Relationship Id="rId293" Type="http://schemas.openxmlformats.org/officeDocument/2006/relationships/hyperlink" Target="https://maps.google.com/?q=17.95475,-98.062977" TargetMode="External"/><Relationship Id="rId2181" Type="http://schemas.openxmlformats.org/officeDocument/2006/relationships/hyperlink" Target="https://maps.google.com/?q=17.05107087,-96.6376353" TargetMode="External"/><Relationship Id="rId3025" Type="http://schemas.openxmlformats.org/officeDocument/2006/relationships/hyperlink" Target="https://maps.google.com/?q=16.299901,-96.770113" TargetMode="External"/><Relationship Id="rId3232" Type="http://schemas.openxmlformats.org/officeDocument/2006/relationships/hyperlink" Target="https://maps.google.com/?q=16.78515292224,-96.572795568869" TargetMode="External"/><Relationship Id="rId153" Type="http://schemas.openxmlformats.org/officeDocument/2006/relationships/hyperlink" Target="https://maps.google.com/?q=17.270413,-97.674256" TargetMode="External"/><Relationship Id="rId360" Type="http://schemas.openxmlformats.org/officeDocument/2006/relationships/hyperlink" Target="https://maps.google.com/?q=18.185380818301,-96.588384727704" TargetMode="External"/><Relationship Id="rId2041" Type="http://schemas.openxmlformats.org/officeDocument/2006/relationships/hyperlink" Target="https://maps.google.com/?q=16.783788,-96.031151" TargetMode="External"/><Relationship Id="rId220" Type="http://schemas.openxmlformats.org/officeDocument/2006/relationships/hyperlink" Target="https://maps.google.com/?q=15.90888442074,-96.218813942302" TargetMode="External"/><Relationship Id="rId2998" Type="http://schemas.openxmlformats.org/officeDocument/2006/relationships/hyperlink" Target="https://maps.google.com/?q=15.959035799609,-96.769517754631" TargetMode="External"/><Relationship Id="rId2858" Type="http://schemas.openxmlformats.org/officeDocument/2006/relationships/hyperlink" Target="https://maps.google.com/?q=17.289230492065,-97.376959810613" TargetMode="External"/><Relationship Id="rId3909" Type="http://schemas.openxmlformats.org/officeDocument/2006/relationships/hyperlink" Target="https://maps.google.com/?q=16.86254613,-94.73150187" TargetMode="External"/><Relationship Id="rId99" Type="http://schemas.openxmlformats.org/officeDocument/2006/relationships/hyperlink" Target="https://maps.google.com/?q=16.808083400618,-96.435449524506" TargetMode="External"/><Relationship Id="rId1667" Type="http://schemas.openxmlformats.org/officeDocument/2006/relationships/hyperlink" Target="https://maps.google.com/?q=16.521217,-96.976183" TargetMode="External"/><Relationship Id="rId1874" Type="http://schemas.openxmlformats.org/officeDocument/2006/relationships/hyperlink" Target="https://maps.google.com/?q=16.071206925329,-96.30220314418" TargetMode="External"/><Relationship Id="rId2718" Type="http://schemas.openxmlformats.org/officeDocument/2006/relationships/hyperlink" Target="https://maps.google.com/?q=17.085983086868,-96.712085879726" TargetMode="External"/><Relationship Id="rId2925" Type="http://schemas.openxmlformats.org/officeDocument/2006/relationships/hyperlink" Target="https://maps.google.com/?q=15.820780368067,-96.065784986307" TargetMode="External"/><Relationship Id="rId1527" Type="http://schemas.openxmlformats.org/officeDocument/2006/relationships/hyperlink" Target="https://maps.google.com/?q=17.361766,-95.922254" TargetMode="External"/><Relationship Id="rId1734" Type="http://schemas.openxmlformats.org/officeDocument/2006/relationships/hyperlink" Target="https://maps.google.com/?q=16.799428,-96.455041" TargetMode="External"/><Relationship Id="rId1941" Type="http://schemas.openxmlformats.org/officeDocument/2006/relationships/hyperlink" Target="https://maps.google.com/?q=16.780377,-96.032633" TargetMode="External"/><Relationship Id="rId26" Type="http://schemas.openxmlformats.org/officeDocument/2006/relationships/hyperlink" Target="https://maps.google.com/?q=17.027131,-96.077044" TargetMode="External"/><Relationship Id="rId3699" Type="http://schemas.openxmlformats.org/officeDocument/2006/relationships/hyperlink" Target="https://maps.google.com/?q=16.2073591,-97.530976" TargetMode="External"/><Relationship Id="rId4000" Type="http://schemas.openxmlformats.org/officeDocument/2006/relationships/hyperlink" Target="https://maps.google.com/?q=16.90070434,-94.69172363" TargetMode="External"/><Relationship Id="rId1801" Type="http://schemas.openxmlformats.org/officeDocument/2006/relationships/hyperlink" Target="https://maps.google.com/?q=17.98901,-96.83629" TargetMode="External"/><Relationship Id="rId3559" Type="http://schemas.openxmlformats.org/officeDocument/2006/relationships/hyperlink" Target="https://maps.google.com/?q=16.793033925909,-96.551294580052" TargetMode="External"/><Relationship Id="rId687" Type="http://schemas.openxmlformats.org/officeDocument/2006/relationships/hyperlink" Target="https://maps.google.com/?q=17.05157097318,-96.716483193543" TargetMode="External"/><Relationship Id="rId2368" Type="http://schemas.openxmlformats.org/officeDocument/2006/relationships/hyperlink" Target="https://maps.google.com/?q=17.38089161,-96.49992877" TargetMode="External"/><Relationship Id="rId3766" Type="http://schemas.openxmlformats.org/officeDocument/2006/relationships/hyperlink" Target="https://maps.google.com/?q=16.208775,-97.531739" TargetMode="External"/><Relationship Id="rId3973" Type="http://schemas.openxmlformats.org/officeDocument/2006/relationships/hyperlink" Target="https://maps.google.com/?q=16.89300569,-94.70041205" TargetMode="External"/><Relationship Id="rId894" Type="http://schemas.openxmlformats.org/officeDocument/2006/relationships/hyperlink" Target="https://maps.google.com/?q=17.127651311205,-96.758106333699" TargetMode="External"/><Relationship Id="rId1177" Type="http://schemas.openxmlformats.org/officeDocument/2006/relationships/hyperlink" Target="https://maps.google.com/?q=18.250273833627,-96.397414727682" TargetMode="External"/><Relationship Id="rId2575" Type="http://schemas.openxmlformats.org/officeDocument/2006/relationships/hyperlink" Target="https://maps.google.com/?q=17.089543159769,-96.7371214142" TargetMode="External"/><Relationship Id="rId2782" Type="http://schemas.openxmlformats.org/officeDocument/2006/relationships/hyperlink" Target="https://maps.google.com/?q=17.788506,-96.812284" TargetMode="External"/><Relationship Id="rId3419" Type="http://schemas.openxmlformats.org/officeDocument/2006/relationships/hyperlink" Target="https://maps.google.com/?q=16.786557926389,-96.560201570204" TargetMode="External"/><Relationship Id="rId3626" Type="http://schemas.openxmlformats.org/officeDocument/2006/relationships/hyperlink" Target="https://maps.google.com/?q=16.2055181,-97.528061" TargetMode="External"/><Relationship Id="rId3833" Type="http://schemas.openxmlformats.org/officeDocument/2006/relationships/hyperlink" Target="https://maps.google.com/?q=16.595472,-96.451651" TargetMode="External"/><Relationship Id="rId547" Type="http://schemas.openxmlformats.org/officeDocument/2006/relationships/hyperlink" Target="https://maps.google.com/?q=17.071544120503,-96.715912270785" TargetMode="External"/><Relationship Id="rId754" Type="http://schemas.openxmlformats.org/officeDocument/2006/relationships/hyperlink" Target="https://maps.google.com/?q=17.064441521323,-96.733963652365" TargetMode="External"/><Relationship Id="rId961" Type="http://schemas.openxmlformats.org/officeDocument/2006/relationships/hyperlink" Target="https://maps.google.com/?q=16.095938028157,-97.063021332962" TargetMode="External"/><Relationship Id="rId1384" Type="http://schemas.openxmlformats.org/officeDocument/2006/relationships/hyperlink" Target="https://maps.google.com/?q=16.184011686215,-95.922813818455" TargetMode="External"/><Relationship Id="rId1591" Type="http://schemas.openxmlformats.org/officeDocument/2006/relationships/hyperlink" Target="https://maps.google.com/?q=17.0275825,-96.7117489" TargetMode="External"/><Relationship Id="rId2228" Type="http://schemas.openxmlformats.org/officeDocument/2006/relationships/hyperlink" Target="https://maps.google.com/?q=16.645700449314,-96.575411120185" TargetMode="External"/><Relationship Id="rId2435" Type="http://schemas.openxmlformats.org/officeDocument/2006/relationships/hyperlink" Target="https://maps.google.com/?q=16.252291,-96.33076" TargetMode="External"/><Relationship Id="rId2642" Type="http://schemas.openxmlformats.org/officeDocument/2006/relationships/hyperlink" Target="https://maps.google.com/?q=15.73486536,-96.47265661" TargetMode="External"/><Relationship Id="rId3900" Type="http://schemas.openxmlformats.org/officeDocument/2006/relationships/hyperlink" Target="https://maps.google.com/?q=16.86081415,-94.73542745" TargetMode="External"/><Relationship Id="rId90" Type="http://schemas.openxmlformats.org/officeDocument/2006/relationships/hyperlink" Target="https://maps.google.com/?q=15.745926640382,-96.465172777199" TargetMode="External"/><Relationship Id="rId407" Type="http://schemas.openxmlformats.org/officeDocument/2006/relationships/hyperlink" Target="https://maps.google.com/?q=17.539450644396,-97.737526945676" TargetMode="External"/><Relationship Id="rId614" Type="http://schemas.openxmlformats.org/officeDocument/2006/relationships/hyperlink" Target="https://maps.google.com/?q=17.047233573641,-96.727789667221" TargetMode="External"/><Relationship Id="rId821" Type="http://schemas.openxmlformats.org/officeDocument/2006/relationships/hyperlink" Target="https://maps.google.com/?q=17.084043038368,-96.696960270873" TargetMode="External"/><Relationship Id="rId1037" Type="http://schemas.openxmlformats.org/officeDocument/2006/relationships/hyperlink" Target="https://maps.google.com/?q=16.564244,-96.731829" TargetMode="External"/><Relationship Id="rId1244" Type="http://schemas.openxmlformats.org/officeDocument/2006/relationships/hyperlink" Target="https://maps.google.com/?q=16.702731757225,-94.81719959259" TargetMode="External"/><Relationship Id="rId1451" Type="http://schemas.openxmlformats.org/officeDocument/2006/relationships/hyperlink" Target="https://maps.google.com/?q=17.023818726986,-96.716464505608" TargetMode="External"/><Relationship Id="rId2502" Type="http://schemas.openxmlformats.org/officeDocument/2006/relationships/hyperlink" Target="https://maps.google.com/?q=16.263641,-96.310932" TargetMode="External"/><Relationship Id="rId1104" Type="http://schemas.openxmlformats.org/officeDocument/2006/relationships/hyperlink" Target="https://maps.google.com/?q=17.050591666667,-96.723063888889" TargetMode="External"/><Relationship Id="rId1311" Type="http://schemas.openxmlformats.org/officeDocument/2006/relationships/hyperlink" Target="https://maps.google.com/?q=15.772829624323,-96.133718288361" TargetMode="External"/><Relationship Id="rId3069" Type="http://schemas.openxmlformats.org/officeDocument/2006/relationships/hyperlink" Target="https://maps.google.com/?q=17.027356,-97.631074" TargetMode="External"/><Relationship Id="rId3276" Type="http://schemas.openxmlformats.org/officeDocument/2006/relationships/hyperlink" Target="https://maps.google.com/?q=16.785508920414,-96.571873561338" TargetMode="External"/><Relationship Id="rId3483" Type="http://schemas.openxmlformats.org/officeDocument/2006/relationships/hyperlink" Target="https://maps.google.com/?q=16.789443923663,-96.553690574634" TargetMode="External"/><Relationship Id="rId3690" Type="http://schemas.openxmlformats.org/officeDocument/2006/relationships/hyperlink" Target="https://maps.google.com/?q=16.2071961,-97.53025" TargetMode="External"/><Relationship Id="rId197" Type="http://schemas.openxmlformats.org/officeDocument/2006/relationships/hyperlink" Target="https://maps.google.com/?q=15.905696737084,-96.220948339119" TargetMode="External"/><Relationship Id="rId2085" Type="http://schemas.openxmlformats.org/officeDocument/2006/relationships/hyperlink" Target="https://maps.google.com/?q=16.923562652195,-96.606578310912" TargetMode="External"/><Relationship Id="rId2292" Type="http://schemas.openxmlformats.org/officeDocument/2006/relationships/hyperlink" Target="https://maps.google.com/?q=17.35531683,-96.53516948" TargetMode="External"/><Relationship Id="rId3136" Type="http://schemas.openxmlformats.org/officeDocument/2006/relationships/hyperlink" Target="https://maps.google.com/?q=16.776638578658,-96.584976240111" TargetMode="External"/><Relationship Id="rId3343" Type="http://schemas.openxmlformats.org/officeDocument/2006/relationships/hyperlink" Target="https://maps.google.com/?q=16.785906924887,-96.573793567888" TargetMode="External"/><Relationship Id="rId264" Type="http://schemas.openxmlformats.org/officeDocument/2006/relationships/hyperlink" Target="https://maps.google.com/?q=17.027131,-96.077044" TargetMode="External"/><Relationship Id="rId471" Type="http://schemas.openxmlformats.org/officeDocument/2006/relationships/hyperlink" Target="https://maps.google.com/?q=17.491837794614,-97.714817067459" TargetMode="External"/><Relationship Id="rId2152" Type="http://schemas.openxmlformats.org/officeDocument/2006/relationships/hyperlink" Target="https://maps.google.com/?q=17.04854801,-96.63643731" TargetMode="External"/><Relationship Id="rId3550" Type="http://schemas.openxmlformats.org/officeDocument/2006/relationships/hyperlink" Target="https://maps.google.com/?q=16.791497923219,-96.551921574711" TargetMode="External"/><Relationship Id="rId124" Type="http://schemas.openxmlformats.org/officeDocument/2006/relationships/hyperlink" Target="https://maps.google.com/?q=17.272335,-97.672455" TargetMode="External"/><Relationship Id="rId3203" Type="http://schemas.openxmlformats.org/officeDocument/2006/relationships/hyperlink" Target="https://maps.google.com/?q=16.784828927091,-96.566102571075" TargetMode="External"/><Relationship Id="rId3410" Type="http://schemas.openxmlformats.org/officeDocument/2006/relationships/hyperlink" Target="https://maps.google.com/?q=16.786364928751,-96.560050572049" TargetMode="External"/><Relationship Id="rId331" Type="http://schemas.openxmlformats.org/officeDocument/2006/relationships/hyperlink" Target="https://maps.google.com/?q=17.027264268196,-97.665507620772" TargetMode="External"/><Relationship Id="rId2012" Type="http://schemas.openxmlformats.org/officeDocument/2006/relationships/hyperlink" Target="https://maps.google.com/?q=16.783046,-96.032462" TargetMode="External"/><Relationship Id="rId2969" Type="http://schemas.openxmlformats.org/officeDocument/2006/relationships/hyperlink" Target="https://maps.google.com/?q=17.799269214013,-96.961810997897" TargetMode="External"/><Relationship Id="rId1778" Type="http://schemas.openxmlformats.org/officeDocument/2006/relationships/hyperlink" Target="https://maps.google.com/?q=17.98428,-96.82721" TargetMode="External"/><Relationship Id="rId1985" Type="http://schemas.openxmlformats.org/officeDocument/2006/relationships/hyperlink" Target="https://maps.google.com/?q=16.781664,-96.034634" TargetMode="External"/><Relationship Id="rId2829" Type="http://schemas.openxmlformats.org/officeDocument/2006/relationships/hyperlink" Target="https://maps.google.com/?q=17.282021566855,-97.375137253312" TargetMode="External"/><Relationship Id="rId1638" Type="http://schemas.openxmlformats.org/officeDocument/2006/relationships/hyperlink" Target="https://maps.google.com/?q=16.834314,-95.176803" TargetMode="External"/><Relationship Id="rId1845" Type="http://schemas.openxmlformats.org/officeDocument/2006/relationships/hyperlink" Target="https://maps.google.com/?q=16.146576948216,-96.348029250618" TargetMode="External"/><Relationship Id="rId3060" Type="http://schemas.openxmlformats.org/officeDocument/2006/relationships/hyperlink" Target="https://maps.google.com/?q=17.44807,-96.63027" TargetMode="External"/><Relationship Id="rId1705" Type="http://schemas.openxmlformats.org/officeDocument/2006/relationships/hyperlink" Target="https://maps.google.com/?q=16.525168,-96.978381" TargetMode="External"/><Relationship Id="rId1912" Type="http://schemas.openxmlformats.org/officeDocument/2006/relationships/hyperlink" Target="https://maps.google.com/?q=16.779147,-96.038215" TargetMode="External"/><Relationship Id="rId3877" Type="http://schemas.openxmlformats.org/officeDocument/2006/relationships/hyperlink" Target="https://maps.google.com/?q=17.039491973092,-96.728304693407" TargetMode="External"/><Relationship Id="rId798" Type="http://schemas.openxmlformats.org/officeDocument/2006/relationships/hyperlink" Target="https://maps.google.com/?q=17.082819087362,-96.697996947768" TargetMode="External"/><Relationship Id="rId2479" Type="http://schemas.openxmlformats.org/officeDocument/2006/relationships/hyperlink" Target="https://maps.google.com/?q=16.257053,-96.3187" TargetMode="External"/><Relationship Id="rId2686" Type="http://schemas.openxmlformats.org/officeDocument/2006/relationships/hyperlink" Target="https://maps.google.com/?q=17.064930922002,-96.724927445322" TargetMode="External"/><Relationship Id="rId2893" Type="http://schemas.openxmlformats.org/officeDocument/2006/relationships/hyperlink" Target="https://maps.google.com/?q=17.058962731819,-96.82214334255" TargetMode="External"/><Relationship Id="rId3737" Type="http://schemas.openxmlformats.org/officeDocument/2006/relationships/hyperlink" Target="https://maps.google.com/?q=16.2081981,-97.528539" TargetMode="External"/><Relationship Id="rId3944" Type="http://schemas.openxmlformats.org/officeDocument/2006/relationships/hyperlink" Target="https://maps.google.com/?q=16.87977364,-94.71269143" TargetMode="External"/><Relationship Id="rId658" Type="http://schemas.openxmlformats.org/officeDocument/2006/relationships/hyperlink" Target="https://maps.google.com/?q=17.0504937,-96.7079303" TargetMode="External"/><Relationship Id="rId865" Type="http://schemas.openxmlformats.org/officeDocument/2006/relationships/hyperlink" Target="https://maps.google.com/?q=17.114818028755,-96.761777094917" TargetMode="External"/><Relationship Id="rId1288" Type="http://schemas.openxmlformats.org/officeDocument/2006/relationships/hyperlink" Target="https://maps.google.com/?q=16.787604386398,-96.874773744705" TargetMode="External"/><Relationship Id="rId1495" Type="http://schemas.openxmlformats.org/officeDocument/2006/relationships/hyperlink" Target="https://maps.google.com/?q=17.0605261,-96.7252921" TargetMode="External"/><Relationship Id="rId2339" Type="http://schemas.openxmlformats.org/officeDocument/2006/relationships/hyperlink" Target="https://maps.google.com/?q=17.37869219,-96.50389051" TargetMode="External"/><Relationship Id="rId2546" Type="http://schemas.openxmlformats.org/officeDocument/2006/relationships/hyperlink" Target="https://maps.google.com/?q=17.940694,-96.869481" TargetMode="External"/><Relationship Id="rId2753" Type="http://schemas.openxmlformats.org/officeDocument/2006/relationships/hyperlink" Target="https://maps.google.com/?q=17.785213,-96.802188" TargetMode="External"/><Relationship Id="rId2960" Type="http://schemas.openxmlformats.org/officeDocument/2006/relationships/hyperlink" Target="https://maps.google.com/?q=17.840036179321,-97.014211626632" TargetMode="External"/><Relationship Id="rId3804" Type="http://schemas.openxmlformats.org/officeDocument/2006/relationships/hyperlink" Target="https://maps.google.com/?q=16.2100061,-97.52829" TargetMode="External"/><Relationship Id="rId518" Type="http://schemas.openxmlformats.org/officeDocument/2006/relationships/hyperlink" Target="https://maps.google.com/?q=16.314377552924,-96.511312548893" TargetMode="External"/><Relationship Id="rId725" Type="http://schemas.openxmlformats.org/officeDocument/2006/relationships/hyperlink" Target="https://maps.google.com/?q=17.058055528104,-96.705504042056" TargetMode="External"/><Relationship Id="rId932" Type="http://schemas.openxmlformats.org/officeDocument/2006/relationships/hyperlink" Target="https://maps.google.com/?q=17.068541,-96.731129" TargetMode="External"/><Relationship Id="rId1148" Type="http://schemas.openxmlformats.org/officeDocument/2006/relationships/hyperlink" Target="https://maps.google.com/?q=16.448464371027,-98.017671661377" TargetMode="External"/><Relationship Id="rId1355" Type="http://schemas.openxmlformats.org/officeDocument/2006/relationships/hyperlink" Target="https://maps.google.com/?q=17.52776755493,-96.064783906746" TargetMode="External"/><Relationship Id="rId1562" Type="http://schemas.openxmlformats.org/officeDocument/2006/relationships/hyperlink" Target="https://maps.google.com/?q=16.337453,-95.226655" TargetMode="External"/><Relationship Id="rId2406" Type="http://schemas.openxmlformats.org/officeDocument/2006/relationships/hyperlink" Target="https://maps.google.com/?q=16.249552,-96.342161" TargetMode="External"/><Relationship Id="rId2613" Type="http://schemas.openxmlformats.org/officeDocument/2006/relationships/hyperlink" Target="https://maps.google.com/?q=17.093265219641,-96.739202152959" TargetMode="External"/><Relationship Id="rId1008" Type="http://schemas.openxmlformats.org/officeDocument/2006/relationships/hyperlink" Target="https://maps.google.com/?q=17.466577,-97.348512" TargetMode="External"/><Relationship Id="rId1215" Type="http://schemas.openxmlformats.org/officeDocument/2006/relationships/hyperlink" Target="https://maps.google.com/?q=17.208459530256,-96.813966784061" TargetMode="External"/><Relationship Id="rId1422" Type="http://schemas.openxmlformats.org/officeDocument/2006/relationships/hyperlink" Target="https://maps.google.com/?q=16.950706,-96.750504" TargetMode="External"/><Relationship Id="rId2820" Type="http://schemas.openxmlformats.org/officeDocument/2006/relationships/hyperlink" Target="https://maps.google.com/?q=17.280214,-97.371714" TargetMode="External"/><Relationship Id="rId61" Type="http://schemas.openxmlformats.org/officeDocument/2006/relationships/hyperlink" Target="https://maps.google.com/?q=17.246139732993,-96.888437171943" TargetMode="External"/><Relationship Id="rId3387" Type="http://schemas.openxmlformats.org/officeDocument/2006/relationships/hyperlink" Target="https://maps.google.com/?q=16.786081921516,-96.559011572826" TargetMode="External"/><Relationship Id="rId2196" Type="http://schemas.openxmlformats.org/officeDocument/2006/relationships/hyperlink" Target="https://maps.google.com/?q=16.635839735509,-96.546883458498" TargetMode="External"/><Relationship Id="rId3594" Type="http://schemas.openxmlformats.org/officeDocument/2006/relationships/hyperlink" Target="https://maps.google.com/?q=16.205129,-97.5277031" TargetMode="External"/><Relationship Id="rId168" Type="http://schemas.openxmlformats.org/officeDocument/2006/relationships/hyperlink" Target="https://maps.google.com/?q=17.271546,-97.673269" TargetMode="External"/><Relationship Id="rId3247" Type="http://schemas.openxmlformats.org/officeDocument/2006/relationships/hyperlink" Target="https://maps.google.com/?q=16.7853009206,-96.576455559894" TargetMode="External"/><Relationship Id="rId3454" Type="http://schemas.openxmlformats.org/officeDocument/2006/relationships/hyperlink" Target="https://maps.google.com/?q=16.788651927073,-96.553235572064" TargetMode="External"/><Relationship Id="rId3661" Type="http://schemas.openxmlformats.org/officeDocument/2006/relationships/hyperlink" Target="https://maps.google.com/?q=16.2064281,-97.528803" TargetMode="External"/><Relationship Id="rId375" Type="http://schemas.openxmlformats.org/officeDocument/2006/relationships/hyperlink" Target="https://maps.google.com/?q=17.041621,-96.728906" TargetMode="External"/><Relationship Id="rId582" Type="http://schemas.openxmlformats.org/officeDocument/2006/relationships/hyperlink" Target="https://maps.google.com/?q=17.044035888527,-96.719194606477" TargetMode="External"/><Relationship Id="rId2056" Type="http://schemas.openxmlformats.org/officeDocument/2006/relationships/hyperlink" Target="https://maps.google.com/?q=16.784403,-96.033434" TargetMode="External"/><Relationship Id="rId2263" Type="http://schemas.openxmlformats.org/officeDocument/2006/relationships/hyperlink" Target="https://maps.google.com/?q=17.35163551,-96.54061729" TargetMode="External"/><Relationship Id="rId2470" Type="http://schemas.openxmlformats.org/officeDocument/2006/relationships/hyperlink" Target="https://maps.google.com/?q=16.255434,-96.323797" TargetMode="External"/><Relationship Id="rId3107" Type="http://schemas.openxmlformats.org/officeDocument/2006/relationships/hyperlink" Target="https://maps.google.com/?q=17.974831,-96.706257" TargetMode="External"/><Relationship Id="rId3314" Type="http://schemas.openxmlformats.org/officeDocument/2006/relationships/hyperlink" Target="https://maps.google.com/?q=16.785781920764,-96.564469570038" TargetMode="External"/><Relationship Id="rId3521" Type="http://schemas.openxmlformats.org/officeDocument/2006/relationships/hyperlink" Target="https://maps.google.com/?q=16.790759927608,-96.551919578118" TargetMode="External"/><Relationship Id="rId235" Type="http://schemas.openxmlformats.org/officeDocument/2006/relationships/hyperlink" Target="https://maps.google.com/?q=15.911550055206,-96.209126950187" TargetMode="External"/><Relationship Id="rId442" Type="http://schemas.openxmlformats.org/officeDocument/2006/relationships/hyperlink" Target="https://maps.google.com/?q=17.509668172932,-97.708417847537" TargetMode="External"/><Relationship Id="rId1072" Type="http://schemas.openxmlformats.org/officeDocument/2006/relationships/hyperlink" Target="https://maps.google.com/?q=17.093287,-96.748068" TargetMode="External"/><Relationship Id="rId2123" Type="http://schemas.openxmlformats.org/officeDocument/2006/relationships/hyperlink" Target="https://maps.google.com/?q=16.875128843477,-97.503101931001" TargetMode="External"/><Relationship Id="rId2330" Type="http://schemas.openxmlformats.org/officeDocument/2006/relationships/hyperlink" Target="https://maps.google.com/?q=17.37427619,-96.50756236" TargetMode="External"/><Relationship Id="rId302" Type="http://schemas.openxmlformats.org/officeDocument/2006/relationships/hyperlink" Target="https://maps.google.com/?q=18.034795127272,-96.548862637703" TargetMode="External"/><Relationship Id="rId1889" Type="http://schemas.openxmlformats.org/officeDocument/2006/relationships/hyperlink" Target="https://maps.google.com/?q=16.778164,-96.032403" TargetMode="External"/><Relationship Id="rId1749" Type="http://schemas.openxmlformats.org/officeDocument/2006/relationships/hyperlink" Target="https://maps.google.com/?q=16.801855,-96.452627" TargetMode="External"/><Relationship Id="rId1956" Type="http://schemas.openxmlformats.org/officeDocument/2006/relationships/hyperlink" Target="https://maps.google.com/?q=16.780865,-96.032364" TargetMode="External"/><Relationship Id="rId3171" Type="http://schemas.openxmlformats.org/officeDocument/2006/relationships/hyperlink" Target="https://maps.google.com/?q=16.783860919009,-96.569440562509" TargetMode="External"/><Relationship Id="rId1609" Type="http://schemas.openxmlformats.org/officeDocument/2006/relationships/hyperlink" Target="https://maps.google.com/?q=16.396348,-97.870302" TargetMode="External"/><Relationship Id="rId1816" Type="http://schemas.openxmlformats.org/officeDocument/2006/relationships/hyperlink" Target="https://maps.google.com/?q=16.73760281849,-96.315310724569" TargetMode="External"/><Relationship Id="rId3031" Type="http://schemas.openxmlformats.org/officeDocument/2006/relationships/hyperlink" Target="https://maps.google.com/?q=16.300137,-96.770019" TargetMode="External"/><Relationship Id="rId3988" Type="http://schemas.openxmlformats.org/officeDocument/2006/relationships/hyperlink" Target="https://maps.google.com/?q=16.89896835,-94.69621354" TargetMode="External"/><Relationship Id="rId2797" Type="http://schemas.openxmlformats.org/officeDocument/2006/relationships/hyperlink" Target="https://maps.google.com/?q=17.791411,-96.816803" TargetMode="External"/><Relationship Id="rId3848" Type="http://schemas.openxmlformats.org/officeDocument/2006/relationships/hyperlink" Target="https://maps.google.com/?q=17.023331024084,-96.710780017686" TargetMode="External"/><Relationship Id="rId769" Type="http://schemas.openxmlformats.org/officeDocument/2006/relationships/hyperlink" Target="https://maps.google.com/?q=17.072451257311,-96.738599197427" TargetMode="External"/><Relationship Id="rId976" Type="http://schemas.openxmlformats.org/officeDocument/2006/relationships/hyperlink" Target="https://maps.google.com/?q=17.0782,-96.71131" TargetMode="External"/><Relationship Id="rId1399" Type="http://schemas.openxmlformats.org/officeDocument/2006/relationships/hyperlink" Target="https://maps.google.com/?q=17.485031,-95.991419" TargetMode="External"/><Relationship Id="rId2657" Type="http://schemas.openxmlformats.org/officeDocument/2006/relationships/hyperlink" Target="https://maps.google.com/?q=16.644274,-97.497555" TargetMode="External"/><Relationship Id="rId629" Type="http://schemas.openxmlformats.org/officeDocument/2006/relationships/hyperlink" Target="https://maps.google.com/?q=17.048568121402,-96.71378559003" TargetMode="External"/><Relationship Id="rId1259" Type="http://schemas.openxmlformats.org/officeDocument/2006/relationships/hyperlink" Target="https://maps.google.com/?q=17.331779658744,-97.675537391541" TargetMode="External"/><Relationship Id="rId1466" Type="http://schemas.openxmlformats.org/officeDocument/2006/relationships/hyperlink" Target="https://maps.google.com/?q=17.027131,-96.077044" TargetMode="External"/><Relationship Id="rId2864" Type="http://schemas.openxmlformats.org/officeDocument/2006/relationships/hyperlink" Target="https://maps.google.com/?q=17.291552040154,-97.384604106305" TargetMode="External"/><Relationship Id="rId3708" Type="http://schemas.openxmlformats.org/officeDocument/2006/relationships/hyperlink" Target="https://maps.google.com/?q=16.2076441,-97.530388" TargetMode="External"/><Relationship Id="rId3915" Type="http://schemas.openxmlformats.org/officeDocument/2006/relationships/hyperlink" Target="https://maps.google.com/?q=16.86184864,-94.72956236" TargetMode="External"/><Relationship Id="rId836" Type="http://schemas.openxmlformats.org/officeDocument/2006/relationships/hyperlink" Target="https://maps.google.com/?q=17.085070835421,-96.694131853005" TargetMode="External"/><Relationship Id="rId1119" Type="http://schemas.openxmlformats.org/officeDocument/2006/relationships/hyperlink" Target="https://maps.google.com/?q=17.01736965,-96.71840761" TargetMode="External"/><Relationship Id="rId1673" Type="http://schemas.openxmlformats.org/officeDocument/2006/relationships/hyperlink" Target="https://maps.google.com/?q=16.52168,-96.977415" TargetMode="External"/><Relationship Id="rId1880" Type="http://schemas.openxmlformats.org/officeDocument/2006/relationships/hyperlink" Target="https://maps.google.com/?q=16.071498099115,-96.301939449272" TargetMode="External"/><Relationship Id="rId2517" Type="http://schemas.openxmlformats.org/officeDocument/2006/relationships/hyperlink" Target="https://maps.google.com/?q=16.268303,-96.310071" TargetMode="External"/><Relationship Id="rId2724" Type="http://schemas.openxmlformats.org/officeDocument/2006/relationships/hyperlink" Target="https://maps.google.com/?q=17.062437400687,-96.709482460907" TargetMode="External"/><Relationship Id="rId2931" Type="http://schemas.openxmlformats.org/officeDocument/2006/relationships/hyperlink" Target="https://maps.google.com/?q=17.044833,-96.721864" TargetMode="External"/><Relationship Id="rId903" Type="http://schemas.openxmlformats.org/officeDocument/2006/relationships/hyperlink" Target="https://maps.google.com/?q=17.900874,-96.332872" TargetMode="External"/><Relationship Id="rId1326" Type="http://schemas.openxmlformats.org/officeDocument/2006/relationships/hyperlink" Target="https://maps.google.com/?q=16.753768156407,-95.423253548506" TargetMode="External"/><Relationship Id="rId1533" Type="http://schemas.openxmlformats.org/officeDocument/2006/relationships/hyperlink" Target="https://maps.google.com/?q=17.806621,-97.776162" TargetMode="External"/><Relationship Id="rId1740" Type="http://schemas.openxmlformats.org/officeDocument/2006/relationships/hyperlink" Target="https://maps.google.com/?q=16.80034,-96.463721" TargetMode="External"/><Relationship Id="rId32" Type="http://schemas.openxmlformats.org/officeDocument/2006/relationships/hyperlink" Target="https://maps.google.com/?q=17.33873,-96.152554" TargetMode="External"/><Relationship Id="rId1600" Type="http://schemas.openxmlformats.org/officeDocument/2006/relationships/hyperlink" Target="https://maps.google.com/?q=17.054813225853,-96.654679095364" TargetMode="External"/><Relationship Id="rId3498" Type="http://schemas.openxmlformats.org/officeDocument/2006/relationships/hyperlink" Target="https://maps.google.com/?q=16.790015927773,-96.554488572412" TargetMode="External"/><Relationship Id="rId3358" Type="http://schemas.openxmlformats.org/officeDocument/2006/relationships/hyperlink" Target="https://maps.google.com/?q=16.785935923674,-96.561400567745" TargetMode="External"/><Relationship Id="rId3565" Type="http://schemas.openxmlformats.org/officeDocument/2006/relationships/hyperlink" Target="https://maps.google.com/?q=16.2031231,-97.52751" TargetMode="External"/><Relationship Id="rId3772" Type="http://schemas.openxmlformats.org/officeDocument/2006/relationships/hyperlink" Target="https://maps.google.com/?q=16.2088831,-97.5298411" TargetMode="External"/><Relationship Id="rId279" Type="http://schemas.openxmlformats.org/officeDocument/2006/relationships/hyperlink" Target="https://maps.google.com/?q=18.13222,-97.070751" TargetMode="External"/><Relationship Id="rId486" Type="http://schemas.openxmlformats.org/officeDocument/2006/relationships/hyperlink" Target="https://maps.google.com/?q=17.533526,-97.722617" TargetMode="External"/><Relationship Id="rId693" Type="http://schemas.openxmlformats.org/officeDocument/2006/relationships/hyperlink" Target="https://maps.google.com/?q=17.052371712991,-96.713385597284" TargetMode="External"/><Relationship Id="rId2167" Type="http://schemas.openxmlformats.org/officeDocument/2006/relationships/hyperlink" Target="https://maps.google.com/?q=17.05000687,-96.63726362" TargetMode="External"/><Relationship Id="rId2374" Type="http://schemas.openxmlformats.org/officeDocument/2006/relationships/hyperlink" Target="https://maps.google.com/?q=17.38329307,-96.50056401" TargetMode="External"/><Relationship Id="rId2581" Type="http://schemas.openxmlformats.org/officeDocument/2006/relationships/hyperlink" Target="https://maps.google.com/?q=17.08997175347,-96.73673782" TargetMode="External"/><Relationship Id="rId3218" Type="http://schemas.openxmlformats.org/officeDocument/2006/relationships/hyperlink" Target="https://maps.google.com/?q=16.784990926211,-96.566074570217" TargetMode="External"/><Relationship Id="rId3425" Type="http://schemas.openxmlformats.org/officeDocument/2006/relationships/hyperlink" Target="https://maps.google.com/?q=16.786683925194,-96.556750572152" TargetMode="External"/><Relationship Id="rId3632" Type="http://schemas.openxmlformats.org/officeDocument/2006/relationships/hyperlink" Target="https://maps.google.com/?q=16.2055831,-97.52949" TargetMode="External"/><Relationship Id="rId139" Type="http://schemas.openxmlformats.org/officeDocument/2006/relationships/hyperlink" Target="https://maps.google.com/?q=17.2687,-97.67344" TargetMode="External"/><Relationship Id="rId346" Type="http://schemas.openxmlformats.org/officeDocument/2006/relationships/hyperlink" Target="https://maps.google.com/?q=16.986438253345,-97.65635847463" TargetMode="External"/><Relationship Id="rId553" Type="http://schemas.openxmlformats.org/officeDocument/2006/relationships/hyperlink" Target="https://maps.google.com/?q=17.071544120503,-96.715912270785" TargetMode="External"/><Relationship Id="rId760" Type="http://schemas.openxmlformats.org/officeDocument/2006/relationships/hyperlink" Target="https://maps.google.com/?q=17.067286460229,-96.721512417819" TargetMode="External"/><Relationship Id="rId1183" Type="http://schemas.openxmlformats.org/officeDocument/2006/relationships/hyperlink" Target="https://maps.google.com/?q=16.681709163349,-96.966490141209" TargetMode="External"/><Relationship Id="rId1390" Type="http://schemas.openxmlformats.org/officeDocument/2006/relationships/hyperlink" Target="https://maps.google.com/?q=16.9190822075,-96.41000383" TargetMode="External"/><Relationship Id="rId2027" Type="http://schemas.openxmlformats.org/officeDocument/2006/relationships/hyperlink" Target="https://maps.google.com/?q=16.783372,-96.031459" TargetMode="External"/><Relationship Id="rId2234" Type="http://schemas.openxmlformats.org/officeDocument/2006/relationships/hyperlink" Target="https://maps.google.com/?q=17.3441364,-96.52944092" TargetMode="External"/><Relationship Id="rId2441" Type="http://schemas.openxmlformats.org/officeDocument/2006/relationships/hyperlink" Target="https://maps.google.com/?q=16.252702,-96.333346" TargetMode="External"/><Relationship Id="rId206" Type="http://schemas.openxmlformats.org/officeDocument/2006/relationships/hyperlink" Target="https://maps.google.com/?q=15.906488373904,-96.220004176465" TargetMode="External"/><Relationship Id="rId413" Type="http://schemas.openxmlformats.org/officeDocument/2006/relationships/hyperlink" Target="https://maps.google.com/?q=17.539931147726,-97.737950558836" TargetMode="External"/><Relationship Id="rId1043" Type="http://schemas.openxmlformats.org/officeDocument/2006/relationships/hyperlink" Target="https://maps.google.com/?q=17.027131,-96.077044" TargetMode="External"/><Relationship Id="rId620" Type="http://schemas.openxmlformats.org/officeDocument/2006/relationships/hyperlink" Target="https://maps.google.com/?q=17.047755380301,-96.72394878634" TargetMode="External"/><Relationship Id="rId1250" Type="http://schemas.openxmlformats.org/officeDocument/2006/relationships/hyperlink" Target="https://maps.google.com/?q=17.261267343706,-97.68850774205" TargetMode="External"/><Relationship Id="rId2301" Type="http://schemas.openxmlformats.org/officeDocument/2006/relationships/hyperlink" Target="https://maps.google.com/?q=17.35667101,-96.52926357" TargetMode="External"/><Relationship Id="rId1110" Type="http://schemas.openxmlformats.org/officeDocument/2006/relationships/hyperlink" Target="https://maps.google.com/?q=17.078447594108,-96.711226860439" TargetMode="External"/><Relationship Id="rId1927" Type="http://schemas.openxmlformats.org/officeDocument/2006/relationships/hyperlink" Target="https://maps.google.com/?q=16.779719,-96.032942" TargetMode="External"/><Relationship Id="rId3075" Type="http://schemas.openxmlformats.org/officeDocument/2006/relationships/hyperlink" Target="https://maps.google.com/?q=16.064915,-97.730636" TargetMode="External"/><Relationship Id="rId3282" Type="http://schemas.openxmlformats.org/officeDocument/2006/relationships/hyperlink" Target="https://maps.google.com/?q=16.785581919465,-96.573049560537" TargetMode="External"/><Relationship Id="rId2091" Type="http://schemas.openxmlformats.org/officeDocument/2006/relationships/hyperlink" Target="https://maps.google.com/?q=16.925116802598,-96.605680022335" TargetMode="External"/><Relationship Id="rId3142" Type="http://schemas.openxmlformats.org/officeDocument/2006/relationships/hyperlink" Target="https://maps.google.com/?q=16.78019136,-96.57754806" TargetMode="External"/><Relationship Id="rId270" Type="http://schemas.openxmlformats.org/officeDocument/2006/relationships/hyperlink" Target="https://maps.google.com/?q=17.33873,-96.152554" TargetMode="External"/><Relationship Id="rId3002" Type="http://schemas.openxmlformats.org/officeDocument/2006/relationships/hyperlink" Target="https://maps.google.com/?q=17.288262260425,-98.015207049292" TargetMode="External"/><Relationship Id="rId130" Type="http://schemas.openxmlformats.org/officeDocument/2006/relationships/hyperlink" Target="https://maps.google.com/?q=17.273701,-97.672539" TargetMode="External"/><Relationship Id="rId3959" Type="http://schemas.openxmlformats.org/officeDocument/2006/relationships/hyperlink" Target="https://maps.google.com/?q=16.88817959,-94.70701386" TargetMode="External"/><Relationship Id="rId2768" Type="http://schemas.openxmlformats.org/officeDocument/2006/relationships/hyperlink" Target="https://maps.google.com/?q=17.786968,-96.804891" TargetMode="External"/><Relationship Id="rId2975" Type="http://schemas.openxmlformats.org/officeDocument/2006/relationships/hyperlink" Target="https://maps.google.com/?q=17.060410351,-96.7054492052" TargetMode="External"/><Relationship Id="rId3819" Type="http://schemas.openxmlformats.org/officeDocument/2006/relationships/hyperlink" Target="https://maps.google.com/?q=16.2128411,-97.5297411" TargetMode="External"/><Relationship Id="rId947" Type="http://schemas.openxmlformats.org/officeDocument/2006/relationships/hyperlink" Target="https://maps.google.com/?q=16.337914498586,-94.512526101105" TargetMode="External"/><Relationship Id="rId1577" Type="http://schemas.openxmlformats.org/officeDocument/2006/relationships/hyperlink" Target="https://maps.google.com/?q=17.060070068,-96.70533308" TargetMode="External"/><Relationship Id="rId1784" Type="http://schemas.openxmlformats.org/officeDocument/2006/relationships/hyperlink" Target="https://maps.google.com/?q=17.98472,-96.83149" TargetMode="External"/><Relationship Id="rId1991" Type="http://schemas.openxmlformats.org/officeDocument/2006/relationships/hyperlink" Target="https://maps.google.com/?q=16.781997,-96.034592" TargetMode="External"/><Relationship Id="rId2628" Type="http://schemas.openxmlformats.org/officeDocument/2006/relationships/hyperlink" Target="https://maps.google.com/?q=17.042120525689,-96.7211817991" TargetMode="External"/><Relationship Id="rId2835" Type="http://schemas.openxmlformats.org/officeDocument/2006/relationships/hyperlink" Target="https://maps.google.com/?q=17.284244122681,-97.373479644415" TargetMode="External"/><Relationship Id="rId76" Type="http://schemas.openxmlformats.org/officeDocument/2006/relationships/hyperlink" Target="https://maps.google.com/?q=15.722837802725,-96.166504653324" TargetMode="External"/><Relationship Id="rId807" Type="http://schemas.openxmlformats.org/officeDocument/2006/relationships/hyperlink" Target="https://maps.google.com/?q=17.083419243454,-96.694625455113" TargetMode="External"/><Relationship Id="rId1437" Type="http://schemas.openxmlformats.org/officeDocument/2006/relationships/hyperlink" Target="https://maps.google.com/?q=17.801687,-96.959688" TargetMode="External"/><Relationship Id="rId1644" Type="http://schemas.openxmlformats.org/officeDocument/2006/relationships/hyperlink" Target="https://maps.google.com/?q=16.854213,-95.529305" TargetMode="External"/><Relationship Id="rId1851" Type="http://schemas.openxmlformats.org/officeDocument/2006/relationships/hyperlink" Target="https://maps.google.com/?q=16.0682837795,-96.299700744881" TargetMode="External"/><Relationship Id="rId2902" Type="http://schemas.openxmlformats.org/officeDocument/2006/relationships/hyperlink" Target="https://maps.google.com/?q=17.236819,-96.641261" TargetMode="External"/><Relationship Id="rId1504" Type="http://schemas.openxmlformats.org/officeDocument/2006/relationships/hyperlink" Target="https://maps.google.com/?q=17.033369468481,-96.712995041364" TargetMode="External"/><Relationship Id="rId1711" Type="http://schemas.openxmlformats.org/officeDocument/2006/relationships/hyperlink" Target="https://maps.google.com/?q=16.526254,-96.977629" TargetMode="External"/><Relationship Id="rId3469" Type="http://schemas.openxmlformats.org/officeDocument/2006/relationships/hyperlink" Target="https://maps.google.com/?q=16.788896928259,-96.554994571042" TargetMode="External"/><Relationship Id="rId3676" Type="http://schemas.openxmlformats.org/officeDocument/2006/relationships/hyperlink" Target="https://maps.google.com/?q=16.2069951,-97.532705" TargetMode="External"/><Relationship Id="rId597" Type="http://schemas.openxmlformats.org/officeDocument/2006/relationships/hyperlink" Target="https://maps.google.com/?q=17.04608005573,-96.718584041593" TargetMode="External"/><Relationship Id="rId2278" Type="http://schemas.openxmlformats.org/officeDocument/2006/relationships/hyperlink" Target="https://maps.google.com/?q=17.35355085,-96.53625589" TargetMode="External"/><Relationship Id="rId2485" Type="http://schemas.openxmlformats.org/officeDocument/2006/relationships/hyperlink" Target="https://maps.google.com/?q=16.257591,-96.318155" TargetMode="External"/><Relationship Id="rId3329" Type="http://schemas.openxmlformats.org/officeDocument/2006/relationships/hyperlink" Target="https://maps.google.com/?q=16.785838924839,-96.570396565367" TargetMode="External"/><Relationship Id="rId3883" Type="http://schemas.openxmlformats.org/officeDocument/2006/relationships/hyperlink" Target="https://maps.google.com/?q=16.075576572497,-96.792776813255" TargetMode="External"/><Relationship Id="rId457" Type="http://schemas.openxmlformats.org/officeDocument/2006/relationships/hyperlink" Target="https://maps.google.com/?q=17.501497841817,-97.719700317791" TargetMode="External"/><Relationship Id="rId1087" Type="http://schemas.openxmlformats.org/officeDocument/2006/relationships/hyperlink" Target="https://maps.google.com/?q=17.118421,-96.760849" TargetMode="External"/><Relationship Id="rId1294" Type="http://schemas.openxmlformats.org/officeDocument/2006/relationships/hyperlink" Target="https://maps.google.com/?q=17.107726729402,-96.967692560678" TargetMode="External"/><Relationship Id="rId2138" Type="http://schemas.openxmlformats.org/officeDocument/2006/relationships/hyperlink" Target="https://maps.google.com/?q=16.877730288094,-97.505409145533" TargetMode="External"/><Relationship Id="rId2692" Type="http://schemas.openxmlformats.org/officeDocument/2006/relationships/hyperlink" Target="https://maps.google.com/?q=17.067615413682,-96.735153237622" TargetMode="External"/><Relationship Id="rId3536" Type="http://schemas.openxmlformats.org/officeDocument/2006/relationships/hyperlink" Target="https://maps.google.com/?q=16.79093092675,-96.55385557867" TargetMode="External"/><Relationship Id="rId3743" Type="http://schemas.openxmlformats.org/officeDocument/2006/relationships/hyperlink" Target="https://maps.google.com/?q=16.2083241,-97.528744" TargetMode="External"/><Relationship Id="rId3950" Type="http://schemas.openxmlformats.org/officeDocument/2006/relationships/hyperlink" Target="https://maps.google.com/?q=16.88210494,-94.71053506" TargetMode="External"/><Relationship Id="rId664" Type="http://schemas.openxmlformats.org/officeDocument/2006/relationships/hyperlink" Target="https://maps.google.com/?q=17.05067534937,-96.726911239961" TargetMode="External"/><Relationship Id="rId871" Type="http://schemas.openxmlformats.org/officeDocument/2006/relationships/hyperlink" Target="https://maps.google.com/?q=17.116631176009,-96.769211070455" TargetMode="External"/><Relationship Id="rId2345" Type="http://schemas.openxmlformats.org/officeDocument/2006/relationships/hyperlink" Target="https://maps.google.com/?q=17.37920936,-96.50696881" TargetMode="External"/><Relationship Id="rId2552" Type="http://schemas.openxmlformats.org/officeDocument/2006/relationships/hyperlink" Target="https://maps.google.com/?q=17.041383,-96.722395" TargetMode="External"/><Relationship Id="rId3603" Type="http://schemas.openxmlformats.org/officeDocument/2006/relationships/hyperlink" Target="https://maps.google.com/?q=16.2053471,-97.522981" TargetMode="External"/><Relationship Id="rId3810" Type="http://schemas.openxmlformats.org/officeDocument/2006/relationships/hyperlink" Target="https://maps.google.com/?q=16.2104371,-97.529799" TargetMode="External"/><Relationship Id="rId317" Type="http://schemas.openxmlformats.org/officeDocument/2006/relationships/hyperlink" Target="https://maps.google.com/?q=17.008936766977,-97.699985696652" TargetMode="External"/><Relationship Id="rId524" Type="http://schemas.openxmlformats.org/officeDocument/2006/relationships/hyperlink" Target="https://maps.google.com/?q=16.314588865214,-96.511357061099" TargetMode="External"/><Relationship Id="rId731" Type="http://schemas.openxmlformats.org/officeDocument/2006/relationships/hyperlink" Target="https://maps.google.com/?q=17.059288734608,-96.726140989536" TargetMode="External"/><Relationship Id="rId1154" Type="http://schemas.openxmlformats.org/officeDocument/2006/relationships/hyperlink" Target="https://maps.google.com/?q=17.323125724571,-96.479436331924" TargetMode="External"/><Relationship Id="rId1361" Type="http://schemas.openxmlformats.org/officeDocument/2006/relationships/hyperlink" Target="https://maps.google.com/?q=17.264211550542,-96.410847157711" TargetMode="External"/><Relationship Id="rId2205" Type="http://schemas.openxmlformats.org/officeDocument/2006/relationships/hyperlink" Target="https://maps.google.com/?q=16.64101763895,-96.584731280962" TargetMode="External"/><Relationship Id="rId2412" Type="http://schemas.openxmlformats.org/officeDocument/2006/relationships/hyperlink" Target="https://maps.google.com/?q=16.24972,-96.342976" TargetMode="External"/><Relationship Id="rId1014" Type="http://schemas.openxmlformats.org/officeDocument/2006/relationships/hyperlink" Target="https://maps.google.com/?q=17.467235,-97.360416" TargetMode="External"/><Relationship Id="rId1221" Type="http://schemas.openxmlformats.org/officeDocument/2006/relationships/hyperlink" Target="https://maps.google.com/?q=16.938016229235,-96.307401149633" TargetMode="External"/><Relationship Id="rId3186" Type="http://schemas.openxmlformats.org/officeDocument/2006/relationships/hyperlink" Target="https://maps.google.com/?q=16.784589924299,-96.566231567308" TargetMode="External"/><Relationship Id="rId3393" Type="http://schemas.openxmlformats.org/officeDocument/2006/relationships/hyperlink" Target="https://maps.google.com/?q=16.786109924399,-96.559830573641" TargetMode="External"/><Relationship Id="rId3046" Type="http://schemas.openxmlformats.org/officeDocument/2006/relationships/hyperlink" Target="https://maps.google.com/?q=17.102342,-96.67691" TargetMode="External"/><Relationship Id="rId3253" Type="http://schemas.openxmlformats.org/officeDocument/2006/relationships/hyperlink" Target="https://maps.google.com/?q=16.785325919936,-96.563018572942" TargetMode="External"/><Relationship Id="rId3460" Type="http://schemas.openxmlformats.org/officeDocument/2006/relationships/hyperlink" Target="https://maps.google.com/?q=16.788664925068,-96.552587573481" TargetMode="External"/><Relationship Id="rId174" Type="http://schemas.openxmlformats.org/officeDocument/2006/relationships/hyperlink" Target="https://maps.google.com/?q=17.274644,-97.671761" TargetMode="External"/><Relationship Id="rId381" Type="http://schemas.openxmlformats.org/officeDocument/2006/relationships/hyperlink" Target="https://maps.google.com/?q=17.469811240414,-97.707078332218" TargetMode="External"/><Relationship Id="rId2062" Type="http://schemas.openxmlformats.org/officeDocument/2006/relationships/hyperlink" Target="https://maps.google.com/?q=16.784572,-96.031238" TargetMode="External"/><Relationship Id="rId3113" Type="http://schemas.openxmlformats.org/officeDocument/2006/relationships/hyperlink" Target="https://maps.google.com/?q=17.975289,-96.704533" TargetMode="External"/><Relationship Id="rId241" Type="http://schemas.openxmlformats.org/officeDocument/2006/relationships/hyperlink" Target="https://maps.google.com/?q=15.91286773792,-96.211852659672" TargetMode="External"/><Relationship Id="rId3320" Type="http://schemas.openxmlformats.org/officeDocument/2006/relationships/hyperlink" Target="https://maps.google.com/?q=16.785805922752,-96.571471562557" TargetMode="External"/><Relationship Id="rId2879" Type="http://schemas.openxmlformats.org/officeDocument/2006/relationships/hyperlink" Target="https://maps.google.com/?q=17.056273201153,-96.818955797791" TargetMode="External"/><Relationship Id="rId101" Type="http://schemas.openxmlformats.org/officeDocument/2006/relationships/hyperlink" Target="https://maps.google.com/?q=16.804843928825,-96.722378750454" TargetMode="External"/><Relationship Id="rId1688" Type="http://schemas.openxmlformats.org/officeDocument/2006/relationships/hyperlink" Target="https://maps.google.com/?q=16.523959,-96.978562" TargetMode="External"/><Relationship Id="rId1895" Type="http://schemas.openxmlformats.org/officeDocument/2006/relationships/hyperlink" Target="https://maps.google.com/?q=16.77849,-96.032804" TargetMode="External"/><Relationship Id="rId2739" Type="http://schemas.openxmlformats.org/officeDocument/2006/relationships/hyperlink" Target="https://maps.google.com/?q=17.173507606048,-97.113047575976" TargetMode="External"/><Relationship Id="rId2946" Type="http://schemas.openxmlformats.org/officeDocument/2006/relationships/hyperlink" Target="https://maps.google.com/?q=17.766414613506,-96.957325601612" TargetMode="External"/><Relationship Id="rId918" Type="http://schemas.openxmlformats.org/officeDocument/2006/relationships/hyperlink" Target="https://maps.google.com/?q=17.654401,-98.091944" TargetMode="External"/><Relationship Id="rId1548" Type="http://schemas.openxmlformats.org/officeDocument/2006/relationships/hyperlink" Target="https://maps.google.com/?q=17.425521,-97.310167" TargetMode="External"/><Relationship Id="rId1755" Type="http://schemas.openxmlformats.org/officeDocument/2006/relationships/hyperlink" Target="https://maps.google.com/?q=16.80442,-96.452574" TargetMode="External"/><Relationship Id="rId1408" Type="http://schemas.openxmlformats.org/officeDocument/2006/relationships/hyperlink" Target="https://maps.google.com/?q=17.065011,-96.723938" TargetMode="External"/><Relationship Id="rId1962" Type="http://schemas.openxmlformats.org/officeDocument/2006/relationships/hyperlink" Target="https://maps.google.com/?q=16.781037,-96.033631" TargetMode="External"/><Relationship Id="rId2806" Type="http://schemas.openxmlformats.org/officeDocument/2006/relationships/hyperlink" Target="https://maps.google.com/?q=17.797855,-96.81796" TargetMode="External"/><Relationship Id="rId47" Type="http://schemas.openxmlformats.org/officeDocument/2006/relationships/hyperlink" Target="https://maps.google.com/?q=16.3415217,-98.0513879" TargetMode="External"/><Relationship Id="rId1615" Type="http://schemas.openxmlformats.org/officeDocument/2006/relationships/hyperlink" Target="https://maps.google.com/?q=16.800012,-97.067427" TargetMode="External"/><Relationship Id="rId1822" Type="http://schemas.openxmlformats.org/officeDocument/2006/relationships/hyperlink" Target="https://maps.google.com/?q=17.020831,-96.716481" TargetMode="External"/><Relationship Id="rId3787" Type="http://schemas.openxmlformats.org/officeDocument/2006/relationships/hyperlink" Target="https://maps.google.com/?q=16.2091641,-97.529937" TargetMode="External"/><Relationship Id="rId3994" Type="http://schemas.openxmlformats.org/officeDocument/2006/relationships/hyperlink" Target="https://maps.google.com/?q=16.89976342,-94.69295423" TargetMode="External"/><Relationship Id="rId2389" Type="http://schemas.openxmlformats.org/officeDocument/2006/relationships/hyperlink" Target="https://maps.google.com/?q=16.248587,-96.339505" TargetMode="External"/><Relationship Id="rId2596" Type="http://schemas.openxmlformats.org/officeDocument/2006/relationships/hyperlink" Target="https://maps.google.com/?q=17.091309852568,-96.73668408652" TargetMode="External"/><Relationship Id="rId3647" Type="http://schemas.openxmlformats.org/officeDocument/2006/relationships/hyperlink" Target="https://maps.google.com/?q=16.206002,-97.528819" TargetMode="External"/><Relationship Id="rId3854" Type="http://schemas.openxmlformats.org/officeDocument/2006/relationships/hyperlink" Target="https://maps.google.com/?q=17.027881676431,-96.71002955413" TargetMode="External"/><Relationship Id="rId568" Type="http://schemas.openxmlformats.org/officeDocument/2006/relationships/hyperlink" Target="https://maps.google.com/?q=17.042226318787,-96.707598820169" TargetMode="External"/><Relationship Id="rId775" Type="http://schemas.openxmlformats.org/officeDocument/2006/relationships/hyperlink" Target="https://maps.google.com/?q=17.075545212885,-96.740881839813" TargetMode="External"/><Relationship Id="rId982" Type="http://schemas.openxmlformats.org/officeDocument/2006/relationships/hyperlink" Target="https://maps.google.com/?q=17.091748551438,-97.116141291996" TargetMode="External"/><Relationship Id="rId1198" Type="http://schemas.openxmlformats.org/officeDocument/2006/relationships/hyperlink" Target="https://maps.google.com/?q=16.828473751882,-96.493005038029" TargetMode="External"/><Relationship Id="rId2249" Type="http://schemas.openxmlformats.org/officeDocument/2006/relationships/hyperlink" Target="https://maps.google.com/?q=17.35019052,-96.53330056" TargetMode="External"/><Relationship Id="rId2456" Type="http://schemas.openxmlformats.org/officeDocument/2006/relationships/hyperlink" Target="https://maps.google.com/?q=16.254303,-96.327776" TargetMode="External"/><Relationship Id="rId2663" Type="http://schemas.openxmlformats.org/officeDocument/2006/relationships/hyperlink" Target="https://maps.google.com/?q=17.060725744102,-96.713827361688" TargetMode="External"/><Relationship Id="rId2870" Type="http://schemas.openxmlformats.org/officeDocument/2006/relationships/hyperlink" Target="https://maps.google.com/?q=17.055770460486,-96.82596193032" TargetMode="External"/><Relationship Id="rId3507" Type="http://schemas.openxmlformats.org/officeDocument/2006/relationships/hyperlink" Target="https://maps.google.com/?q=16.79033692238,-96.554312578367" TargetMode="External"/><Relationship Id="rId3714" Type="http://schemas.openxmlformats.org/officeDocument/2006/relationships/hyperlink" Target="https://maps.google.com/?q=16.2077781,-97.527495" TargetMode="External"/><Relationship Id="rId3921" Type="http://schemas.openxmlformats.org/officeDocument/2006/relationships/hyperlink" Target="https://maps.google.com/?q=16.86278919,-94.72839788" TargetMode="External"/><Relationship Id="rId428" Type="http://schemas.openxmlformats.org/officeDocument/2006/relationships/hyperlink" Target="https://maps.google.com/?q=17.504009299156,-97.731176028029" TargetMode="External"/><Relationship Id="rId635" Type="http://schemas.openxmlformats.org/officeDocument/2006/relationships/hyperlink" Target="https://maps.google.com/?q=17.048875160301,-96.716820371472" TargetMode="External"/><Relationship Id="rId842" Type="http://schemas.openxmlformats.org/officeDocument/2006/relationships/hyperlink" Target="https://maps.google.com/?q=17.085508498155,-96.697655531702" TargetMode="External"/><Relationship Id="rId1058" Type="http://schemas.openxmlformats.org/officeDocument/2006/relationships/hyperlink" Target="https://maps.google.com/?q=18.13222,-97.070751" TargetMode="External"/><Relationship Id="rId1265" Type="http://schemas.openxmlformats.org/officeDocument/2006/relationships/hyperlink" Target="https://maps.google.com/?q=17.993667,-96.485718" TargetMode="External"/><Relationship Id="rId1472" Type="http://schemas.openxmlformats.org/officeDocument/2006/relationships/hyperlink" Target="https://maps.google.com/?q=17.33873,-96.152554" TargetMode="External"/><Relationship Id="rId2109" Type="http://schemas.openxmlformats.org/officeDocument/2006/relationships/hyperlink" Target="https://maps.google.com/?q=16.930302696472,-96.601448155114" TargetMode="External"/><Relationship Id="rId2316" Type="http://schemas.openxmlformats.org/officeDocument/2006/relationships/hyperlink" Target="https://maps.google.com/?q=17.3683052,-96.50822634" TargetMode="External"/><Relationship Id="rId2523" Type="http://schemas.openxmlformats.org/officeDocument/2006/relationships/hyperlink" Target="https://maps.google.com/?q=16.269904,-96.310042" TargetMode="External"/><Relationship Id="rId2730" Type="http://schemas.openxmlformats.org/officeDocument/2006/relationships/hyperlink" Target="https://maps.google.com/?q=17.063309210719,-96.706148475101" TargetMode="External"/><Relationship Id="rId702" Type="http://schemas.openxmlformats.org/officeDocument/2006/relationships/hyperlink" Target="https://maps.google.com/?q=17.052845683774,-96.716028110034" TargetMode="External"/><Relationship Id="rId1125" Type="http://schemas.openxmlformats.org/officeDocument/2006/relationships/hyperlink" Target="https://maps.google.com/?q=17.12645,-96.76818" TargetMode="External"/><Relationship Id="rId1332" Type="http://schemas.openxmlformats.org/officeDocument/2006/relationships/hyperlink" Target="https://maps.google.com/?q=17.890855749521,-98.02363340741" TargetMode="External"/><Relationship Id="rId3297" Type="http://schemas.openxmlformats.org/officeDocument/2006/relationships/hyperlink" Target="https://maps.google.com/?q=16.785654921283,-96.564412564673" TargetMode="External"/><Relationship Id="rId3157" Type="http://schemas.openxmlformats.org/officeDocument/2006/relationships/hyperlink" Target="https://maps.google.com/?q=16.783326924311,-96.567910561864" TargetMode="External"/><Relationship Id="rId285" Type="http://schemas.openxmlformats.org/officeDocument/2006/relationships/hyperlink" Target="https://maps.google.com/?q=17.988216,-96.832438" TargetMode="External"/><Relationship Id="rId3364" Type="http://schemas.openxmlformats.org/officeDocument/2006/relationships/hyperlink" Target="https://maps.google.com/?q=16.785947921697,-96.561311567837" TargetMode="External"/><Relationship Id="rId3571" Type="http://schemas.openxmlformats.org/officeDocument/2006/relationships/hyperlink" Target="https://maps.google.com/?q=16.2040941,-97.528669" TargetMode="External"/><Relationship Id="rId492" Type="http://schemas.openxmlformats.org/officeDocument/2006/relationships/hyperlink" Target="https://maps.google.com/?q=17.536453,-97.71876" TargetMode="External"/><Relationship Id="rId2173" Type="http://schemas.openxmlformats.org/officeDocument/2006/relationships/hyperlink" Target="https://maps.google.com/?q=17.05034235,-96.63966055" TargetMode="External"/><Relationship Id="rId2380" Type="http://schemas.openxmlformats.org/officeDocument/2006/relationships/hyperlink" Target="https://maps.google.com/?q=16.2328,-96.340571" TargetMode="External"/><Relationship Id="rId3017" Type="http://schemas.openxmlformats.org/officeDocument/2006/relationships/hyperlink" Target="https://maps.google.com/?q=16.299446,-96.770664" TargetMode="External"/><Relationship Id="rId3224" Type="http://schemas.openxmlformats.org/officeDocument/2006/relationships/hyperlink" Target="https://maps.google.com/?q=16.785055924961,-96.569673565049" TargetMode="External"/><Relationship Id="rId3431" Type="http://schemas.openxmlformats.org/officeDocument/2006/relationships/hyperlink" Target="https://maps.google.com/?q=16.786928922393,-96.556368570334" TargetMode="External"/><Relationship Id="rId145" Type="http://schemas.openxmlformats.org/officeDocument/2006/relationships/hyperlink" Target="https://maps.google.com/?q=17.269434,-97.673745" TargetMode="External"/><Relationship Id="rId352" Type="http://schemas.openxmlformats.org/officeDocument/2006/relationships/hyperlink" Target="https://maps.google.com/?q=17.017309066087,-97.659569842658" TargetMode="External"/><Relationship Id="rId2033" Type="http://schemas.openxmlformats.org/officeDocument/2006/relationships/hyperlink" Target="https://maps.google.com/?q=16.783531,-96.031526" TargetMode="External"/><Relationship Id="rId2240" Type="http://schemas.openxmlformats.org/officeDocument/2006/relationships/hyperlink" Target="https://maps.google.com/?q=17.34824119,-96.53123872" TargetMode="External"/><Relationship Id="rId212" Type="http://schemas.openxmlformats.org/officeDocument/2006/relationships/hyperlink" Target="https://maps.google.com/?q=15.908279637162,-96.220240860952" TargetMode="External"/><Relationship Id="rId1799" Type="http://schemas.openxmlformats.org/officeDocument/2006/relationships/hyperlink" Target="https://maps.google.com/?q=17.98869,-96.831202" TargetMode="External"/><Relationship Id="rId2100" Type="http://schemas.openxmlformats.org/officeDocument/2006/relationships/hyperlink" Target="https://maps.google.com/?q=16.928262388654,-96.605596696232" TargetMode="External"/><Relationship Id="rId1659" Type="http://schemas.openxmlformats.org/officeDocument/2006/relationships/hyperlink" Target="https://maps.google.com/?q=16.517693,-96.9771" TargetMode="External"/><Relationship Id="rId1866" Type="http://schemas.openxmlformats.org/officeDocument/2006/relationships/hyperlink" Target="https://maps.google.com/?q=16.07079504058,-96.302097676814" TargetMode="External"/><Relationship Id="rId2917" Type="http://schemas.openxmlformats.org/officeDocument/2006/relationships/hyperlink" Target="https://maps.google.com/?q=16.572014,-97.868492" TargetMode="External"/><Relationship Id="rId3081" Type="http://schemas.openxmlformats.org/officeDocument/2006/relationships/hyperlink" Target="https://maps.google.com/?q=16.15507,-97.75624" TargetMode="External"/><Relationship Id="rId1519" Type="http://schemas.openxmlformats.org/officeDocument/2006/relationships/hyperlink" Target="https://maps.google.com/?q=17.026216,-97.928115" TargetMode="External"/><Relationship Id="rId1726" Type="http://schemas.openxmlformats.org/officeDocument/2006/relationships/hyperlink" Target="https://maps.google.com/?q=16.796893,-96.454503" TargetMode="External"/><Relationship Id="rId1933" Type="http://schemas.openxmlformats.org/officeDocument/2006/relationships/hyperlink" Target="https://maps.google.com/?q=16.780017,-96.036211" TargetMode="External"/><Relationship Id="rId18" Type="http://schemas.openxmlformats.org/officeDocument/2006/relationships/hyperlink" Target="https://maps.google.com/?q=16.500512,-96.10679" TargetMode="External"/><Relationship Id="rId3898" Type="http://schemas.openxmlformats.org/officeDocument/2006/relationships/hyperlink" Target="https://maps.google.com/?q=16.85988442,-94.73637615" TargetMode="External"/><Relationship Id="rId3758" Type="http://schemas.openxmlformats.org/officeDocument/2006/relationships/hyperlink" Target="https://maps.google.com/?q=16.2085811,-97.528463" TargetMode="External"/><Relationship Id="rId3965" Type="http://schemas.openxmlformats.org/officeDocument/2006/relationships/hyperlink" Target="https://maps.google.com/?q=16.89015823,-94.70488232" TargetMode="External"/><Relationship Id="rId679" Type="http://schemas.openxmlformats.org/officeDocument/2006/relationships/hyperlink" Target="https://maps.google.com/?q=17.051388182024,-96.72438757769" TargetMode="External"/><Relationship Id="rId886" Type="http://schemas.openxmlformats.org/officeDocument/2006/relationships/hyperlink" Target="https://maps.google.com/?q=17.122378105895,-96.764481540084" TargetMode="External"/><Relationship Id="rId2567" Type="http://schemas.openxmlformats.org/officeDocument/2006/relationships/hyperlink" Target="https://maps.google.com/?q=17.088564325279,-96.737732944" TargetMode="External"/><Relationship Id="rId2774" Type="http://schemas.openxmlformats.org/officeDocument/2006/relationships/hyperlink" Target="https://maps.google.com/?q=17.787758,-96.806824" TargetMode="External"/><Relationship Id="rId3618" Type="http://schemas.openxmlformats.org/officeDocument/2006/relationships/hyperlink" Target="https://maps.google.com/?q=16.2054471,-97.524821" TargetMode="External"/><Relationship Id="rId2" Type="http://schemas.openxmlformats.org/officeDocument/2006/relationships/hyperlink" Target="https://maps.google.com/?q=17.078218431027,-96.711311178989" TargetMode="External"/><Relationship Id="rId539" Type="http://schemas.openxmlformats.org/officeDocument/2006/relationships/hyperlink" Target="https://maps.google.com/?q=17.071544120503,-96.715912270785" TargetMode="External"/><Relationship Id="rId746" Type="http://schemas.openxmlformats.org/officeDocument/2006/relationships/hyperlink" Target="https://maps.google.com/?q=17.061980479054,-96.731925294928" TargetMode="External"/><Relationship Id="rId1169" Type="http://schemas.openxmlformats.org/officeDocument/2006/relationships/hyperlink" Target="https://maps.google.com/?q=17.875764076477,-96.199974910381" TargetMode="External"/><Relationship Id="rId1376" Type="http://schemas.openxmlformats.org/officeDocument/2006/relationships/hyperlink" Target="https://maps.google.com/?q=16.192968609306,-96.697593877316" TargetMode="External"/><Relationship Id="rId1583" Type="http://schemas.openxmlformats.org/officeDocument/2006/relationships/hyperlink" Target="https://maps.google.com/?q=17.0260416,-96.712958" TargetMode="External"/><Relationship Id="rId2427" Type="http://schemas.openxmlformats.org/officeDocument/2006/relationships/hyperlink" Target="https://maps.google.com/?q=16.250607,-96.345173" TargetMode="External"/><Relationship Id="rId2981" Type="http://schemas.openxmlformats.org/officeDocument/2006/relationships/hyperlink" Target="https://maps.google.com/?q=17.0609087336,-96.7058226548" TargetMode="External"/><Relationship Id="rId3825" Type="http://schemas.openxmlformats.org/officeDocument/2006/relationships/hyperlink" Target="https://maps.google.com/?q=16.2141541,-97.529913" TargetMode="External"/><Relationship Id="rId953" Type="http://schemas.openxmlformats.org/officeDocument/2006/relationships/hyperlink" Target="https://maps.google.com/?q=16.895538071069,-96.740510792911" TargetMode="External"/><Relationship Id="rId1029" Type="http://schemas.openxmlformats.org/officeDocument/2006/relationships/hyperlink" Target="https://maps.google.com/?q=15.746144,-96.465183" TargetMode="External"/><Relationship Id="rId1236" Type="http://schemas.openxmlformats.org/officeDocument/2006/relationships/hyperlink" Target="https://maps.google.com/?q=15.746031006958,-96.54616464418" TargetMode="External"/><Relationship Id="rId1790" Type="http://schemas.openxmlformats.org/officeDocument/2006/relationships/hyperlink" Target="https://maps.google.com/?q=17.98625,-96.830512" TargetMode="External"/><Relationship Id="rId2634" Type="http://schemas.openxmlformats.org/officeDocument/2006/relationships/hyperlink" Target="https://maps.google.com/?q=17.043049250433,-96.721820930617" TargetMode="External"/><Relationship Id="rId2841" Type="http://schemas.openxmlformats.org/officeDocument/2006/relationships/hyperlink" Target="https://maps.google.com/?q=17.285597652328,-97.37566162145" TargetMode="External"/><Relationship Id="rId82" Type="http://schemas.openxmlformats.org/officeDocument/2006/relationships/hyperlink" Target="https://maps.google.com/?q=17.126436495068,-96.768011532824" TargetMode="External"/><Relationship Id="rId606" Type="http://schemas.openxmlformats.org/officeDocument/2006/relationships/hyperlink" Target="https://maps.google.com/?q=17.046636618862,-96.722879359355" TargetMode="External"/><Relationship Id="rId813" Type="http://schemas.openxmlformats.org/officeDocument/2006/relationships/hyperlink" Target="https://maps.google.com/?q=17.083583022919,-96.699972708121" TargetMode="External"/><Relationship Id="rId1443" Type="http://schemas.openxmlformats.org/officeDocument/2006/relationships/hyperlink" Target="https://maps.google.com/?q=16.433347,-95.021687" TargetMode="External"/><Relationship Id="rId1650" Type="http://schemas.openxmlformats.org/officeDocument/2006/relationships/hyperlink" Target="https://maps.google.com/?q=16.515746,-96.977645" TargetMode="External"/><Relationship Id="rId2701" Type="http://schemas.openxmlformats.org/officeDocument/2006/relationships/hyperlink" Target="https://maps.google.com/?q=17.073125038548,-96.715372926874" TargetMode="External"/><Relationship Id="rId1303" Type="http://schemas.openxmlformats.org/officeDocument/2006/relationships/hyperlink" Target="https://maps.google.com/?q=16.283569864647,-97.823880953373" TargetMode="External"/><Relationship Id="rId1510" Type="http://schemas.openxmlformats.org/officeDocument/2006/relationships/hyperlink" Target="https://maps.google.com/?q=16.332014,-95.231966" TargetMode="External"/><Relationship Id="rId3268" Type="http://schemas.openxmlformats.org/officeDocument/2006/relationships/hyperlink" Target="https://maps.google.com/?q=16.785437924945,-96.574111564168" TargetMode="External"/><Relationship Id="rId3475" Type="http://schemas.openxmlformats.org/officeDocument/2006/relationships/hyperlink" Target="https://maps.google.com/?q=16.789198925378,-96.553677575324" TargetMode="External"/><Relationship Id="rId3682" Type="http://schemas.openxmlformats.org/officeDocument/2006/relationships/hyperlink" Target="https://maps.google.com/?q=16.2070581,-97.532318" TargetMode="External"/><Relationship Id="rId189" Type="http://schemas.openxmlformats.org/officeDocument/2006/relationships/hyperlink" Target="https://maps.google.com/?q=17.277423,-97.670943906746" TargetMode="External"/><Relationship Id="rId396" Type="http://schemas.openxmlformats.org/officeDocument/2006/relationships/hyperlink" Target="https://maps.google.com/?q=17.520181,-97.740284" TargetMode="External"/><Relationship Id="rId2077" Type="http://schemas.openxmlformats.org/officeDocument/2006/relationships/hyperlink" Target="https://maps.google.com/?q=16.785845,-96.030467" TargetMode="External"/><Relationship Id="rId2284" Type="http://schemas.openxmlformats.org/officeDocument/2006/relationships/hyperlink" Target="https://maps.google.com/?q=17.35423677,-96.52743395" TargetMode="External"/><Relationship Id="rId2491" Type="http://schemas.openxmlformats.org/officeDocument/2006/relationships/hyperlink" Target="https://maps.google.com/?q=16.259335,-96.315351" TargetMode="External"/><Relationship Id="rId3128" Type="http://schemas.openxmlformats.org/officeDocument/2006/relationships/hyperlink" Target="https://maps.google.com/?q=17.977261,-96.705508" TargetMode="External"/><Relationship Id="rId3335" Type="http://schemas.openxmlformats.org/officeDocument/2006/relationships/hyperlink" Target="https://maps.google.com/?q=16.785893922125,-96.573798562231" TargetMode="External"/><Relationship Id="rId3542" Type="http://schemas.openxmlformats.org/officeDocument/2006/relationships/hyperlink" Target="https://maps.google.com/?q=16.791023928243,-96.554222572388" TargetMode="External"/><Relationship Id="rId256" Type="http://schemas.openxmlformats.org/officeDocument/2006/relationships/hyperlink" Target="https://maps.google.com/?q=16.500512,-96.10679" TargetMode="External"/><Relationship Id="rId463" Type="http://schemas.openxmlformats.org/officeDocument/2006/relationships/hyperlink" Target="https://maps.google.com/?q=17.48425246584,-97.71777317791" TargetMode="External"/><Relationship Id="rId670" Type="http://schemas.openxmlformats.org/officeDocument/2006/relationships/hyperlink" Target="https://maps.google.com/?q=17.050906,-96.70682" TargetMode="External"/><Relationship Id="rId1093" Type="http://schemas.openxmlformats.org/officeDocument/2006/relationships/hyperlink" Target="https://maps.google.com/?q=17.057937,-96.686939" TargetMode="External"/><Relationship Id="rId2144" Type="http://schemas.openxmlformats.org/officeDocument/2006/relationships/hyperlink" Target="https://maps.google.com/?q=16.878456908843,-97.50467132274" TargetMode="External"/><Relationship Id="rId2351" Type="http://schemas.openxmlformats.org/officeDocument/2006/relationships/hyperlink" Target="https://maps.google.com/?q=17.37943172,-96.50669301" TargetMode="External"/><Relationship Id="rId3402" Type="http://schemas.openxmlformats.org/officeDocument/2006/relationships/hyperlink" Target="https://maps.google.com/?q=16.786231927236,-96.559979571516" TargetMode="External"/><Relationship Id="rId116" Type="http://schemas.openxmlformats.org/officeDocument/2006/relationships/hyperlink" Target="https://maps.google.com/?q=16.322162594703,-96.672585149093" TargetMode="External"/><Relationship Id="rId323" Type="http://schemas.openxmlformats.org/officeDocument/2006/relationships/hyperlink" Target="https://maps.google.com/?q=17.026604203134,-97.646299573025" TargetMode="External"/><Relationship Id="rId530" Type="http://schemas.openxmlformats.org/officeDocument/2006/relationships/hyperlink" Target="https://maps.google.com/?q=17.049216,-96.727602" TargetMode="External"/><Relationship Id="rId1160" Type="http://schemas.openxmlformats.org/officeDocument/2006/relationships/hyperlink" Target="https://maps.google.com/?q=18.168975648234,-96.954878735126" TargetMode="External"/><Relationship Id="rId2004" Type="http://schemas.openxmlformats.org/officeDocument/2006/relationships/hyperlink" Target="https://maps.google.com/?q=16.782824,-96.032373" TargetMode="External"/><Relationship Id="rId2211" Type="http://schemas.openxmlformats.org/officeDocument/2006/relationships/hyperlink" Target="https://maps.google.com/?q=16.643880425834,-96.569057097631" TargetMode="External"/><Relationship Id="rId1020" Type="http://schemas.openxmlformats.org/officeDocument/2006/relationships/hyperlink" Target="https://maps.google.com/?q=17.032425,-96.722434" TargetMode="External"/><Relationship Id="rId1977" Type="http://schemas.openxmlformats.org/officeDocument/2006/relationships/hyperlink" Target="https://maps.google.com/?q=16.78152,-96.033098" TargetMode="External"/><Relationship Id="rId1837" Type="http://schemas.openxmlformats.org/officeDocument/2006/relationships/hyperlink" Target="https://maps.google.com/?q=17.934771065064,-97.678324553201" TargetMode="External"/><Relationship Id="rId3192" Type="http://schemas.openxmlformats.org/officeDocument/2006/relationships/hyperlink" Target="https://maps.google.com/?q=16.784702920083,-96.574852565831" TargetMode="External"/><Relationship Id="rId3052" Type="http://schemas.openxmlformats.org/officeDocument/2006/relationships/hyperlink" Target="https://maps.google.com/?q=17.305389121586,-96.914318434359" TargetMode="External"/><Relationship Id="rId180" Type="http://schemas.openxmlformats.org/officeDocument/2006/relationships/hyperlink" Target="https://maps.google.com/?q=17.275996719399,-97.671377906746" TargetMode="External"/><Relationship Id="rId1904" Type="http://schemas.openxmlformats.org/officeDocument/2006/relationships/hyperlink" Target="https://maps.google.com/?q=16.778886,-96.037326" TargetMode="External"/><Relationship Id="rId3869" Type="http://schemas.openxmlformats.org/officeDocument/2006/relationships/hyperlink" Target="https://maps.google.com/?q=17.035900832838,-96.728294124309" TargetMode="External"/><Relationship Id="rId997" Type="http://schemas.openxmlformats.org/officeDocument/2006/relationships/hyperlink" Target="https://maps.google.com/?q=17.464142,-97.349099" TargetMode="External"/><Relationship Id="rId2678" Type="http://schemas.openxmlformats.org/officeDocument/2006/relationships/hyperlink" Target="https://maps.google.com/?q=17.063323091047,-96.731741467755" TargetMode="External"/><Relationship Id="rId2885" Type="http://schemas.openxmlformats.org/officeDocument/2006/relationships/hyperlink" Target="https://maps.google.com/?q=17.057365011123,-96.822131689822" TargetMode="External"/><Relationship Id="rId3729" Type="http://schemas.openxmlformats.org/officeDocument/2006/relationships/hyperlink" Target="https://maps.google.com/?q=16.2080991,-97.5324" TargetMode="External"/><Relationship Id="rId3936" Type="http://schemas.openxmlformats.org/officeDocument/2006/relationships/hyperlink" Target="https://maps.google.com/?q=16.87159481,-94.72573761" TargetMode="External"/><Relationship Id="rId857" Type="http://schemas.openxmlformats.org/officeDocument/2006/relationships/hyperlink" Target="https://maps.google.com/?q=17.086810201056,-96.694451767529" TargetMode="External"/><Relationship Id="rId1487" Type="http://schemas.openxmlformats.org/officeDocument/2006/relationships/hyperlink" Target="https://maps.google.com/?q=16.866351,-96.383413" TargetMode="External"/><Relationship Id="rId1694" Type="http://schemas.openxmlformats.org/officeDocument/2006/relationships/hyperlink" Target="https://maps.google.com/?q=16.524584,-96.978733" TargetMode="External"/><Relationship Id="rId2538" Type="http://schemas.openxmlformats.org/officeDocument/2006/relationships/hyperlink" Target="https://maps.google.com/?q=16.272489,-96.306392" TargetMode="External"/><Relationship Id="rId2745" Type="http://schemas.openxmlformats.org/officeDocument/2006/relationships/hyperlink" Target="https://maps.google.com/?q=16.218566808083,-95.130875005965" TargetMode="External"/><Relationship Id="rId2952" Type="http://schemas.openxmlformats.org/officeDocument/2006/relationships/hyperlink" Target="https://maps.google.com/?q=17.717024686455,-96.939224655989" TargetMode="External"/><Relationship Id="rId717" Type="http://schemas.openxmlformats.org/officeDocument/2006/relationships/hyperlink" Target="https://maps.google.com/?q=17.057552677559,-96.705498994064" TargetMode="External"/><Relationship Id="rId924" Type="http://schemas.openxmlformats.org/officeDocument/2006/relationships/hyperlink" Target="https://maps.google.com/?q=17.534136,-96.813562" TargetMode="External"/><Relationship Id="rId1347" Type="http://schemas.openxmlformats.org/officeDocument/2006/relationships/hyperlink" Target="https://maps.google.com/?q=17.679367,-97.568109" TargetMode="External"/><Relationship Id="rId1554" Type="http://schemas.openxmlformats.org/officeDocument/2006/relationships/hyperlink" Target="https://maps.google.com/?q=16.336612487055,-95.228923979168" TargetMode="External"/><Relationship Id="rId1761" Type="http://schemas.openxmlformats.org/officeDocument/2006/relationships/hyperlink" Target="https://maps.google.com/?q=17.024459075,-96.7131224" TargetMode="External"/><Relationship Id="rId2605" Type="http://schemas.openxmlformats.org/officeDocument/2006/relationships/hyperlink" Target="https://maps.google.com/?q=17.09192929641,-96.738369147458" TargetMode="External"/><Relationship Id="rId2812" Type="http://schemas.openxmlformats.org/officeDocument/2006/relationships/hyperlink" Target="https://maps.google.com/?q=16.514279,-96.490264" TargetMode="External"/><Relationship Id="rId53" Type="http://schemas.openxmlformats.org/officeDocument/2006/relationships/hyperlink" Target="https://maps.google.com/?q=16.8766286,-95.0412282" TargetMode="External"/><Relationship Id="rId1207" Type="http://schemas.openxmlformats.org/officeDocument/2006/relationships/hyperlink" Target="https://maps.google.com/?q=16.726026590325,-97.378681224537" TargetMode="External"/><Relationship Id="rId1414" Type="http://schemas.openxmlformats.org/officeDocument/2006/relationships/hyperlink" Target="https://maps.google.com/?q=16.328751,-96.596529" TargetMode="External"/><Relationship Id="rId1621" Type="http://schemas.openxmlformats.org/officeDocument/2006/relationships/hyperlink" Target="https://maps.google.com/?q=18.394288,-96.497298" TargetMode="External"/><Relationship Id="rId3379" Type="http://schemas.openxmlformats.org/officeDocument/2006/relationships/hyperlink" Target="https://maps.google.com/?q=16.786047923895,-96.559632574253" TargetMode="External"/><Relationship Id="rId3586" Type="http://schemas.openxmlformats.org/officeDocument/2006/relationships/hyperlink" Target="https://maps.google.com/?q=16.2049691,-97.529736" TargetMode="External"/><Relationship Id="rId3793" Type="http://schemas.openxmlformats.org/officeDocument/2006/relationships/hyperlink" Target="https://maps.google.com/?q=16.2094321,-97.532274" TargetMode="External"/><Relationship Id="rId2188" Type="http://schemas.openxmlformats.org/officeDocument/2006/relationships/hyperlink" Target="https://maps.google.com/?q=17.05222781,-96.63838271" TargetMode="External"/><Relationship Id="rId2395" Type="http://schemas.openxmlformats.org/officeDocument/2006/relationships/hyperlink" Target="https://maps.google.com/?q=16.248934,-96.346219" TargetMode="External"/><Relationship Id="rId3239" Type="http://schemas.openxmlformats.org/officeDocument/2006/relationships/hyperlink" Target="https://maps.google.com/?q=16.785246920146,-96.569850563336" TargetMode="External"/><Relationship Id="rId3446" Type="http://schemas.openxmlformats.org/officeDocument/2006/relationships/hyperlink" Target="https://maps.google.com/?q=16.788247924972,-96.555399576169" TargetMode="External"/><Relationship Id="rId367" Type="http://schemas.openxmlformats.org/officeDocument/2006/relationships/hyperlink" Target="https://maps.google.com/?q=17.041185,-96.727925" TargetMode="External"/><Relationship Id="rId574" Type="http://schemas.openxmlformats.org/officeDocument/2006/relationships/hyperlink" Target="https://maps.google.com/?q=17.04334157687,-96.718711156246" TargetMode="External"/><Relationship Id="rId2048" Type="http://schemas.openxmlformats.org/officeDocument/2006/relationships/hyperlink" Target="https://maps.google.com/?q=16.784038,-96.031158" TargetMode="External"/><Relationship Id="rId2255" Type="http://schemas.openxmlformats.org/officeDocument/2006/relationships/hyperlink" Target="https://maps.google.com/?q=17.35065428,-96.53794991" TargetMode="External"/><Relationship Id="rId3653" Type="http://schemas.openxmlformats.org/officeDocument/2006/relationships/hyperlink" Target="https://maps.google.com/?q=16.2062181,-97.528825" TargetMode="External"/><Relationship Id="rId3860" Type="http://schemas.openxmlformats.org/officeDocument/2006/relationships/hyperlink" Target="https://maps.google.com/?q=17.06064009,-96.70561489" TargetMode="External"/><Relationship Id="rId227" Type="http://schemas.openxmlformats.org/officeDocument/2006/relationships/hyperlink" Target="https://maps.google.com/?q=15.910469223984,-96.213547014589" TargetMode="External"/><Relationship Id="rId781" Type="http://schemas.openxmlformats.org/officeDocument/2006/relationships/hyperlink" Target="https://maps.google.com/?q=17.081730891447,-96.69540184207" TargetMode="External"/><Relationship Id="rId2462" Type="http://schemas.openxmlformats.org/officeDocument/2006/relationships/hyperlink" Target="https://maps.google.com/?q=16.254639,-96.325743" TargetMode="External"/><Relationship Id="rId3306" Type="http://schemas.openxmlformats.org/officeDocument/2006/relationships/hyperlink" Target="https://maps.google.com/?q=16.785728922039,-96.564439564405" TargetMode="External"/><Relationship Id="rId3513" Type="http://schemas.openxmlformats.org/officeDocument/2006/relationships/hyperlink" Target="https://maps.google.com/?q=16.790537922193,-96.554208571256" TargetMode="External"/><Relationship Id="rId3720" Type="http://schemas.openxmlformats.org/officeDocument/2006/relationships/hyperlink" Target="https://maps.google.com/?q=16.2078941,-97.530418" TargetMode="External"/><Relationship Id="rId434" Type="http://schemas.openxmlformats.org/officeDocument/2006/relationships/hyperlink" Target="https://maps.google.com/?q=17.507603680478,-97.708975705523" TargetMode="External"/><Relationship Id="rId641" Type="http://schemas.openxmlformats.org/officeDocument/2006/relationships/hyperlink" Target="https://maps.google.com/?q=17.049327921015,-96.71675061685" TargetMode="External"/><Relationship Id="rId1064" Type="http://schemas.openxmlformats.org/officeDocument/2006/relationships/hyperlink" Target="https://maps.google.com/?q=17.079267,-96.743174" TargetMode="External"/><Relationship Id="rId1271" Type="http://schemas.openxmlformats.org/officeDocument/2006/relationships/hyperlink" Target="https://maps.google.com/?q=16.31953388733,-96.592888325869" TargetMode="External"/><Relationship Id="rId2115" Type="http://schemas.openxmlformats.org/officeDocument/2006/relationships/hyperlink" Target="https://maps.google.com/?q=16.87423196208,-97.502799266851" TargetMode="External"/><Relationship Id="rId2322" Type="http://schemas.openxmlformats.org/officeDocument/2006/relationships/hyperlink" Target="https://maps.google.com/?q=17.37131099,-96.5080728" TargetMode="External"/><Relationship Id="rId501" Type="http://schemas.openxmlformats.org/officeDocument/2006/relationships/hyperlink" Target="https://maps.google.com/?q=17.529479946181,-97.791306265047" TargetMode="External"/><Relationship Id="rId1131" Type="http://schemas.openxmlformats.org/officeDocument/2006/relationships/hyperlink" Target="https://maps.google.com/?q=17.05124,-96.722979" TargetMode="External"/><Relationship Id="rId3096" Type="http://schemas.openxmlformats.org/officeDocument/2006/relationships/hyperlink" Target="https://maps.google.com/?q=17.970656,-96.688576" TargetMode="External"/><Relationship Id="rId1948" Type="http://schemas.openxmlformats.org/officeDocument/2006/relationships/hyperlink" Target="https://maps.google.com/?q=16.780521,-96.033979" TargetMode="External"/><Relationship Id="rId3163" Type="http://schemas.openxmlformats.org/officeDocument/2006/relationships/hyperlink" Target="https://maps.google.com/?q=16.783519926269,-96.568360567364" TargetMode="External"/><Relationship Id="rId3370" Type="http://schemas.openxmlformats.org/officeDocument/2006/relationships/hyperlink" Target="https://maps.google.com/?q=16.785992923893,-96.561738573504" TargetMode="External"/><Relationship Id="rId4007" Type="http://schemas.openxmlformats.org/officeDocument/2006/relationships/hyperlink" Target="https://maps.google.com/?q=17.417589,-96.248511" TargetMode="External"/><Relationship Id="rId291" Type="http://schemas.openxmlformats.org/officeDocument/2006/relationships/hyperlink" Target="https://maps.google.com/?q=17.946882,-98.055734" TargetMode="External"/><Relationship Id="rId1808" Type="http://schemas.openxmlformats.org/officeDocument/2006/relationships/hyperlink" Target="https://maps.google.com/?q=17.076900517746,-96.747802021856" TargetMode="External"/><Relationship Id="rId3023" Type="http://schemas.openxmlformats.org/officeDocument/2006/relationships/hyperlink" Target="https://maps.google.com/?q=16.299843,-96.770675" TargetMode="External"/><Relationship Id="rId151" Type="http://schemas.openxmlformats.org/officeDocument/2006/relationships/hyperlink" Target="https://maps.google.com/?q=17.270151,-97.674145" TargetMode="External"/><Relationship Id="rId3230" Type="http://schemas.openxmlformats.org/officeDocument/2006/relationships/hyperlink" Target="https://maps.google.com/?q=16.785134921681,-96.574271567616" TargetMode="External"/><Relationship Id="rId2789" Type="http://schemas.openxmlformats.org/officeDocument/2006/relationships/hyperlink" Target="https://maps.google.com/?q=17.788972,-96.814457" TargetMode="External"/><Relationship Id="rId2996" Type="http://schemas.openxmlformats.org/officeDocument/2006/relationships/hyperlink" Target="https://maps.google.com/?q=15.958940411455,-96.769836735751" TargetMode="External"/><Relationship Id="rId968" Type="http://schemas.openxmlformats.org/officeDocument/2006/relationships/hyperlink" Target="https://maps.google.com/?q=17.643172549326,-97.341999760969" TargetMode="External"/><Relationship Id="rId1598" Type="http://schemas.openxmlformats.org/officeDocument/2006/relationships/hyperlink" Target="https://maps.google.com/?q=17.066218,-96.753492" TargetMode="External"/><Relationship Id="rId2649" Type="http://schemas.openxmlformats.org/officeDocument/2006/relationships/hyperlink" Target="https://maps.google.com/?q=17.986181,-96.794606" TargetMode="External"/><Relationship Id="rId2856" Type="http://schemas.openxmlformats.org/officeDocument/2006/relationships/hyperlink" Target="https://maps.google.com/?q=17.288704202135,-97.378228495477" TargetMode="External"/><Relationship Id="rId3907" Type="http://schemas.openxmlformats.org/officeDocument/2006/relationships/hyperlink" Target="https://maps.google.com/?q=16.86307709,-94.73282989" TargetMode="External"/><Relationship Id="rId97" Type="http://schemas.openxmlformats.org/officeDocument/2006/relationships/hyperlink" Target="https://maps.google.com/?q=17.335047093829,-98.012456050805" TargetMode="External"/><Relationship Id="rId828" Type="http://schemas.openxmlformats.org/officeDocument/2006/relationships/hyperlink" Target="https://maps.google.com/?q=17.084504242538,-96.700399776572" TargetMode="External"/><Relationship Id="rId1458" Type="http://schemas.openxmlformats.org/officeDocument/2006/relationships/hyperlink" Target="https://maps.google.com/?q=16.500512,-96.10679" TargetMode="External"/><Relationship Id="rId1665" Type="http://schemas.openxmlformats.org/officeDocument/2006/relationships/hyperlink" Target="https://maps.google.com/?q=16.521113,-96.975735" TargetMode="External"/><Relationship Id="rId1872" Type="http://schemas.openxmlformats.org/officeDocument/2006/relationships/hyperlink" Target="https://maps.google.com/?q=16.071157955027,-96.302004660713" TargetMode="External"/><Relationship Id="rId2509" Type="http://schemas.openxmlformats.org/officeDocument/2006/relationships/hyperlink" Target="https://maps.google.com/?q=16.266687,-96.308641" TargetMode="External"/><Relationship Id="rId2716" Type="http://schemas.openxmlformats.org/officeDocument/2006/relationships/hyperlink" Target="https://maps.google.com/?q=17.084890892298,-96.712743020935" TargetMode="External"/><Relationship Id="rId1318" Type="http://schemas.openxmlformats.org/officeDocument/2006/relationships/hyperlink" Target="https://maps.google.com/?q=17.015999711434,-95.042897749668" TargetMode="External"/><Relationship Id="rId1525" Type="http://schemas.openxmlformats.org/officeDocument/2006/relationships/hyperlink" Target="https://maps.google.com/?q=17.335316,-98.012051" TargetMode="External"/><Relationship Id="rId2923" Type="http://schemas.openxmlformats.org/officeDocument/2006/relationships/hyperlink" Target="https://maps.google.com/?q=15.786754814723,-96.175445156904" TargetMode="External"/><Relationship Id="rId1732" Type="http://schemas.openxmlformats.org/officeDocument/2006/relationships/hyperlink" Target="https://maps.google.com/?q=16.799008,-96.455403" TargetMode="External"/><Relationship Id="rId24" Type="http://schemas.openxmlformats.org/officeDocument/2006/relationships/hyperlink" Target="https://maps.google.com/?q=16.95558,-96.479206" TargetMode="External"/><Relationship Id="rId2299" Type="http://schemas.openxmlformats.org/officeDocument/2006/relationships/hyperlink" Target="https://maps.google.com/?q=17.35603277,-96.53024088" TargetMode="External"/><Relationship Id="rId3697" Type="http://schemas.openxmlformats.org/officeDocument/2006/relationships/hyperlink" Target="https://maps.google.com/?q=16.207313,-97.527813" TargetMode="External"/><Relationship Id="rId3557" Type="http://schemas.openxmlformats.org/officeDocument/2006/relationships/hyperlink" Target="https://maps.google.com/?q=16.792125931921,-96.551698577835" TargetMode="External"/><Relationship Id="rId3764" Type="http://schemas.openxmlformats.org/officeDocument/2006/relationships/hyperlink" Target="https://maps.google.com/?q=16.2087251,-97.529281" TargetMode="External"/><Relationship Id="rId3971" Type="http://schemas.openxmlformats.org/officeDocument/2006/relationships/hyperlink" Target="https://maps.google.com/?q=16.89196635,-94.70151966" TargetMode="External"/><Relationship Id="rId478" Type="http://schemas.openxmlformats.org/officeDocument/2006/relationships/hyperlink" Target="https://maps.google.com/?q=17.532278833497,-97.720267705582" TargetMode="External"/><Relationship Id="rId685" Type="http://schemas.openxmlformats.org/officeDocument/2006/relationships/hyperlink" Target="https://maps.google.com/?q=17.051556952085,-96.715390506104" TargetMode="External"/><Relationship Id="rId892" Type="http://schemas.openxmlformats.org/officeDocument/2006/relationships/hyperlink" Target="https://maps.google.com/?q=17.125845271313,-96.760285158844" TargetMode="External"/><Relationship Id="rId2159" Type="http://schemas.openxmlformats.org/officeDocument/2006/relationships/hyperlink" Target="https://maps.google.com/?q=17.04964321,-96.63724232" TargetMode="External"/><Relationship Id="rId2366" Type="http://schemas.openxmlformats.org/officeDocument/2006/relationships/hyperlink" Target="https://maps.google.com/?q=17.38057479,-96.50131582" TargetMode="External"/><Relationship Id="rId2573" Type="http://schemas.openxmlformats.org/officeDocument/2006/relationships/hyperlink" Target="https://maps.google.com/?q=17.089516639747,-96.736778094224" TargetMode="External"/><Relationship Id="rId2780" Type="http://schemas.openxmlformats.org/officeDocument/2006/relationships/hyperlink" Target="https://maps.google.com/?q=17.788425,-96.81072" TargetMode="External"/><Relationship Id="rId3417" Type="http://schemas.openxmlformats.org/officeDocument/2006/relationships/hyperlink" Target="https://maps.google.com/?q=16.786529921718,-96.5602165748" TargetMode="External"/><Relationship Id="rId3624" Type="http://schemas.openxmlformats.org/officeDocument/2006/relationships/hyperlink" Target="https://maps.google.com/?q=16.2054751,-97.525991" TargetMode="External"/><Relationship Id="rId3831" Type="http://schemas.openxmlformats.org/officeDocument/2006/relationships/hyperlink" Target="https://maps.google.com/?q=15.750237,-96.827335" TargetMode="External"/><Relationship Id="rId338" Type="http://schemas.openxmlformats.org/officeDocument/2006/relationships/hyperlink" Target="https://maps.google.com/?q=16.978900831538,-97.63936958975" TargetMode="External"/><Relationship Id="rId545" Type="http://schemas.openxmlformats.org/officeDocument/2006/relationships/hyperlink" Target="https://maps.google.com/?q=17.071544120503,-96.715912270785" TargetMode="External"/><Relationship Id="rId752" Type="http://schemas.openxmlformats.org/officeDocument/2006/relationships/hyperlink" Target="https://maps.google.com/?q=17.063495955334,-96.732724185225" TargetMode="External"/><Relationship Id="rId1175" Type="http://schemas.openxmlformats.org/officeDocument/2006/relationships/hyperlink" Target="https://maps.google.com/?q=17.712080193936,-96.344942890877" TargetMode="External"/><Relationship Id="rId1382" Type="http://schemas.openxmlformats.org/officeDocument/2006/relationships/hyperlink" Target="https://maps.google.com/?q=16.740285705613,-97.754907072422" TargetMode="External"/><Relationship Id="rId2019" Type="http://schemas.openxmlformats.org/officeDocument/2006/relationships/hyperlink" Target="https://maps.google.com/?q=16.783169,-96.032253" TargetMode="External"/><Relationship Id="rId2226" Type="http://schemas.openxmlformats.org/officeDocument/2006/relationships/hyperlink" Target="https://maps.google.com/?q=16.645397495041,-96.573161410282" TargetMode="External"/><Relationship Id="rId2433" Type="http://schemas.openxmlformats.org/officeDocument/2006/relationships/hyperlink" Target="https://maps.google.com/?q=16.252247,-96.329927" TargetMode="External"/><Relationship Id="rId2640" Type="http://schemas.openxmlformats.org/officeDocument/2006/relationships/hyperlink" Target="https://maps.google.com/?q=16.690098177198,-97.006047186508" TargetMode="External"/><Relationship Id="rId405" Type="http://schemas.openxmlformats.org/officeDocument/2006/relationships/hyperlink" Target="https://maps.google.com/?q=17.538825823547,-97.738307548156" TargetMode="External"/><Relationship Id="rId612" Type="http://schemas.openxmlformats.org/officeDocument/2006/relationships/hyperlink" Target="https://maps.google.com/?q=17.047062734405,-96.726979726039" TargetMode="External"/><Relationship Id="rId1035" Type="http://schemas.openxmlformats.org/officeDocument/2006/relationships/hyperlink" Target="https://maps.google.com/?q=16.500512,-96.10679" TargetMode="External"/><Relationship Id="rId1242" Type="http://schemas.openxmlformats.org/officeDocument/2006/relationships/hyperlink" Target="https://maps.google.com/?q=16.193171323149,-95.214997867682" TargetMode="External"/><Relationship Id="rId2500" Type="http://schemas.openxmlformats.org/officeDocument/2006/relationships/hyperlink" Target="https://maps.google.com/?q=16.26312,-96.311356" TargetMode="External"/><Relationship Id="rId1102" Type="http://schemas.openxmlformats.org/officeDocument/2006/relationships/hyperlink" Target="https://maps.google.com/?q=17.071544120503,-96.715912270785" TargetMode="External"/><Relationship Id="rId3067" Type="http://schemas.openxmlformats.org/officeDocument/2006/relationships/hyperlink" Target="https://maps.google.com/?q=17.091425,-95.85448" TargetMode="External"/><Relationship Id="rId3274" Type="http://schemas.openxmlformats.org/officeDocument/2006/relationships/hyperlink" Target="https://maps.google.com/?q=16.785497919508,-96.576748567999" TargetMode="External"/><Relationship Id="rId195" Type="http://schemas.openxmlformats.org/officeDocument/2006/relationships/hyperlink" Target="https://maps.google.com/?q=17.278344,-97.670869" TargetMode="External"/><Relationship Id="rId1919" Type="http://schemas.openxmlformats.org/officeDocument/2006/relationships/hyperlink" Target="https://maps.google.com/?q=16.779255,-96.034116" TargetMode="External"/><Relationship Id="rId3481" Type="http://schemas.openxmlformats.org/officeDocument/2006/relationships/hyperlink" Target="https://maps.google.com/?q=16.789347928764,-96.554658572814" TargetMode="External"/><Relationship Id="rId2083" Type="http://schemas.openxmlformats.org/officeDocument/2006/relationships/hyperlink" Target="https://maps.google.com/?q=17.508647,-95.854515" TargetMode="External"/><Relationship Id="rId2290" Type="http://schemas.openxmlformats.org/officeDocument/2006/relationships/hyperlink" Target="https://maps.google.com/?q=17.35526692,-96.53112584" TargetMode="External"/><Relationship Id="rId3134" Type="http://schemas.openxmlformats.org/officeDocument/2006/relationships/hyperlink" Target="https://maps.google.com/?q=16.776199,-96.58643" TargetMode="External"/><Relationship Id="rId3341" Type="http://schemas.openxmlformats.org/officeDocument/2006/relationships/hyperlink" Target="https://maps.google.com/?q=16.78590392331,-96.558217566949" TargetMode="External"/><Relationship Id="rId262" Type="http://schemas.openxmlformats.org/officeDocument/2006/relationships/hyperlink" Target="https://maps.google.com/?q=16.95558,-96.479206" TargetMode="External"/><Relationship Id="rId2150" Type="http://schemas.openxmlformats.org/officeDocument/2006/relationships/hyperlink" Target="https://maps.google.com/?q=16.879217007249,-97.50480612936" TargetMode="External"/><Relationship Id="rId3201" Type="http://schemas.openxmlformats.org/officeDocument/2006/relationships/hyperlink" Target="https://maps.google.com/?q=16.784790923713,-96.569480564636" TargetMode="External"/><Relationship Id="rId122" Type="http://schemas.openxmlformats.org/officeDocument/2006/relationships/hyperlink" Target="https://maps.google.com/?q=17.271954,-97.672185" TargetMode="External"/><Relationship Id="rId2010" Type="http://schemas.openxmlformats.org/officeDocument/2006/relationships/hyperlink" Target="https://maps.google.com/?q=16.783026,-96.031575" TargetMode="External"/><Relationship Id="rId1569" Type="http://schemas.openxmlformats.org/officeDocument/2006/relationships/hyperlink" Target="https://maps.google.com/?q=17.05864437,-96.70551278" TargetMode="External"/><Relationship Id="rId2967" Type="http://schemas.openxmlformats.org/officeDocument/2006/relationships/hyperlink" Target="https://maps.google.com/?q=17.792580818992,-96.953102354524" TargetMode="External"/><Relationship Id="rId939" Type="http://schemas.openxmlformats.org/officeDocument/2006/relationships/hyperlink" Target="https://maps.google.com/?q=17.585563123505,-97.628634599246" TargetMode="External"/><Relationship Id="rId1776" Type="http://schemas.openxmlformats.org/officeDocument/2006/relationships/hyperlink" Target="https://maps.google.com/?q=17.0285929,-96.71095606" TargetMode="External"/><Relationship Id="rId1983" Type="http://schemas.openxmlformats.org/officeDocument/2006/relationships/hyperlink" Target="https://maps.google.com/?q=16.781613,-96.032886" TargetMode="External"/><Relationship Id="rId2827" Type="http://schemas.openxmlformats.org/officeDocument/2006/relationships/hyperlink" Target="https://maps.google.com/?q=17.281862296119,-97.373199353574" TargetMode="External"/><Relationship Id="rId68" Type="http://schemas.openxmlformats.org/officeDocument/2006/relationships/hyperlink" Target="https://maps.google.com/?q=16.9099807,-96.720373" TargetMode="External"/><Relationship Id="rId1429" Type="http://schemas.openxmlformats.org/officeDocument/2006/relationships/hyperlink" Target="https://maps.google.com/?q=17.331248,-96.487901" TargetMode="External"/><Relationship Id="rId1636" Type="http://schemas.openxmlformats.org/officeDocument/2006/relationships/hyperlink" Target="https://maps.google.com/?q=16.831474,-95.161266" TargetMode="External"/><Relationship Id="rId1843" Type="http://schemas.openxmlformats.org/officeDocument/2006/relationships/hyperlink" Target="https://maps.google.com/?q=16.146506514354,-96.351462274676" TargetMode="External"/><Relationship Id="rId1703" Type="http://schemas.openxmlformats.org/officeDocument/2006/relationships/hyperlink" Target="https://maps.google.com/?q=16.524971,-96.978505" TargetMode="External"/><Relationship Id="rId1910" Type="http://schemas.openxmlformats.org/officeDocument/2006/relationships/hyperlink" Target="https://maps.google.com/?q=16.77907,-96.035573" TargetMode="External"/><Relationship Id="rId3668" Type="http://schemas.openxmlformats.org/officeDocument/2006/relationships/hyperlink" Target="https://maps.google.com/?q=16.2068461,-97.530613" TargetMode="External"/><Relationship Id="rId3875" Type="http://schemas.openxmlformats.org/officeDocument/2006/relationships/hyperlink" Target="https://maps.google.com/?q=17.038817002389,-96.728655417423" TargetMode="External"/><Relationship Id="rId589" Type="http://schemas.openxmlformats.org/officeDocument/2006/relationships/hyperlink" Target="https://maps.google.com/?q=17.045163764683,-96.722045483714" TargetMode="External"/><Relationship Id="rId796" Type="http://schemas.openxmlformats.org/officeDocument/2006/relationships/hyperlink" Target="https://maps.google.com/?q=17.082546291284,-96.700731773908" TargetMode="External"/><Relationship Id="rId2477" Type="http://schemas.openxmlformats.org/officeDocument/2006/relationships/hyperlink" Target="https://maps.google.com/?q=16.256811,-96.320302" TargetMode="External"/><Relationship Id="rId2684" Type="http://schemas.openxmlformats.org/officeDocument/2006/relationships/hyperlink" Target="https://maps.google.com/?q=17.064364129378,-96.732194761078" TargetMode="External"/><Relationship Id="rId3528" Type="http://schemas.openxmlformats.org/officeDocument/2006/relationships/hyperlink" Target="https://maps.google.com/?q=16.790840922222,-96.554247571805" TargetMode="External"/><Relationship Id="rId3735" Type="http://schemas.openxmlformats.org/officeDocument/2006/relationships/hyperlink" Target="https://maps.google.com/?q=16.2081941,-97.529302" TargetMode="External"/><Relationship Id="rId449" Type="http://schemas.openxmlformats.org/officeDocument/2006/relationships/hyperlink" Target="https://maps.google.com/?q=17.490861621315,-97.728692119745" TargetMode="External"/><Relationship Id="rId656" Type="http://schemas.openxmlformats.org/officeDocument/2006/relationships/hyperlink" Target="https://maps.google.com/?q=17.05027371443,-96.735701144044" TargetMode="External"/><Relationship Id="rId863" Type="http://schemas.openxmlformats.org/officeDocument/2006/relationships/hyperlink" Target="https://maps.google.com/?q=17.114653041112,-96.762154400028" TargetMode="External"/><Relationship Id="rId1079" Type="http://schemas.openxmlformats.org/officeDocument/2006/relationships/hyperlink" Target="https://maps.google.com/?q=17.104989,-96.753098" TargetMode="External"/><Relationship Id="rId1286" Type="http://schemas.openxmlformats.org/officeDocument/2006/relationships/hyperlink" Target="https://maps.google.com/?q=17.066217410231,-96.811761827053" TargetMode="External"/><Relationship Id="rId1493" Type="http://schemas.openxmlformats.org/officeDocument/2006/relationships/hyperlink" Target="https://maps.google.com/?q=17.05165,-96.73259" TargetMode="External"/><Relationship Id="rId2337" Type="http://schemas.openxmlformats.org/officeDocument/2006/relationships/hyperlink" Target="https://maps.google.com/?q=17.37857868,-96.50420246" TargetMode="External"/><Relationship Id="rId2544" Type="http://schemas.openxmlformats.org/officeDocument/2006/relationships/hyperlink" Target="https://maps.google.com/?q=17.807057275972,-96.958878005816" TargetMode="External"/><Relationship Id="rId2891" Type="http://schemas.openxmlformats.org/officeDocument/2006/relationships/hyperlink" Target="https://maps.google.com/?q=17.058204916883,-96.823760647087" TargetMode="External"/><Relationship Id="rId3942" Type="http://schemas.openxmlformats.org/officeDocument/2006/relationships/hyperlink" Target="https://maps.google.com/?q=16.87373124,-94.72312925" TargetMode="External"/><Relationship Id="rId309" Type="http://schemas.openxmlformats.org/officeDocument/2006/relationships/hyperlink" Target="https://maps.google.com/?q=16.9405342,-96.7101286" TargetMode="External"/><Relationship Id="rId516" Type="http://schemas.openxmlformats.org/officeDocument/2006/relationships/hyperlink" Target="https://maps.google.com/?q=17.788735644453,-96.801391269646" TargetMode="External"/><Relationship Id="rId1146" Type="http://schemas.openxmlformats.org/officeDocument/2006/relationships/hyperlink" Target="https://maps.google.com/?q=15.746059404078,-96.546132457672" TargetMode="External"/><Relationship Id="rId2751" Type="http://schemas.openxmlformats.org/officeDocument/2006/relationships/hyperlink" Target="https://maps.google.com/?q=17.785087,-96.802237" TargetMode="External"/><Relationship Id="rId3802" Type="http://schemas.openxmlformats.org/officeDocument/2006/relationships/hyperlink" Target="https://maps.google.com/?q=16.2099066,-97.5298481" TargetMode="External"/><Relationship Id="rId723" Type="http://schemas.openxmlformats.org/officeDocument/2006/relationships/hyperlink" Target="https://maps.google.com/?q=17.058007108373,-96.729404020599" TargetMode="External"/><Relationship Id="rId930" Type="http://schemas.openxmlformats.org/officeDocument/2006/relationships/hyperlink" Target="https://maps.google.com/?q=17.063683,-96.729649" TargetMode="External"/><Relationship Id="rId1006" Type="http://schemas.openxmlformats.org/officeDocument/2006/relationships/hyperlink" Target="https://maps.google.com/?q=17.466062,-97.348564" TargetMode="External"/><Relationship Id="rId1353" Type="http://schemas.openxmlformats.org/officeDocument/2006/relationships/hyperlink" Target="https://maps.google.com/?q=17.018186808726,-97.501147209822" TargetMode="External"/><Relationship Id="rId1560" Type="http://schemas.openxmlformats.org/officeDocument/2006/relationships/hyperlink" Target="https://maps.google.com/?q=16.336856,-95.231975" TargetMode="External"/><Relationship Id="rId2404" Type="http://schemas.openxmlformats.org/officeDocument/2006/relationships/hyperlink" Target="https://maps.google.com/?q=16.249428,-96.340575" TargetMode="External"/><Relationship Id="rId2611" Type="http://schemas.openxmlformats.org/officeDocument/2006/relationships/hyperlink" Target="https://maps.google.com/?q=17.09279221098,-96.738811891548" TargetMode="External"/><Relationship Id="rId1213" Type="http://schemas.openxmlformats.org/officeDocument/2006/relationships/hyperlink" Target="https://maps.google.com/?q=16.602411017345,-96.893700345087" TargetMode="External"/><Relationship Id="rId1420" Type="http://schemas.openxmlformats.org/officeDocument/2006/relationships/hyperlink" Target="https://maps.google.com/?q=16.791625,-96.674999" TargetMode="External"/><Relationship Id="rId3178" Type="http://schemas.openxmlformats.org/officeDocument/2006/relationships/hyperlink" Target="https://maps.google.com/?q=16.784102919341,-96.569557564123" TargetMode="External"/><Relationship Id="rId3385" Type="http://schemas.openxmlformats.org/officeDocument/2006/relationships/hyperlink" Target="https://maps.google.com/?q=16.786078928054,-96.559774567239" TargetMode="External"/><Relationship Id="rId3592" Type="http://schemas.openxmlformats.org/officeDocument/2006/relationships/hyperlink" Target="https://maps.google.com/?q=16.2051161,-97.526812" TargetMode="External"/><Relationship Id="rId2194" Type="http://schemas.openxmlformats.org/officeDocument/2006/relationships/hyperlink" Target="https://maps.google.com/?q=16.635650787815,-96.547710379957" TargetMode="External"/><Relationship Id="rId3038" Type="http://schemas.openxmlformats.org/officeDocument/2006/relationships/hyperlink" Target="https://maps.google.com/?q=16.281291,-97.8202157" TargetMode="External"/><Relationship Id="rId3245" Type="http://schemas.openxmlformats.org/officeDocument/2006/relationships/hyperlink" Target="https://maps.google.com/?q=16.785294919511,-96.565825564137" TargetMode="External"/><Relationship Id="rId3452" Type="http://schemas.openxmlformats.org/officeDocument/2006/relationships/hyperlink" Target="https://maps.google.com/?q=16.788643922957,-96.552091572046" TargetMode="External"/><Relationship Id="rId166" Type="http://schemas.openxmlformats.org/officeDocument/2006/relationships/hyperlink" Target="https://maps.google.com/?q=17.271493,-97.673505" TargetMode="External"/><Relationship Id="rId373" Type="http://schemas.openxmlformats.org/officeDocument/2006/relationships/hyperlink" Target="https://maps.google.com/?q=17.041528,-96.727846" TargetMode="External"/><Relationship Id="rId580" Type="http://schemas.openxmlformats.org/officeDocument/2006/relationships/hyperlink" Target="https://maps.google.com/?q=17.043931667168,-96.718802439509" TargetMode="External"/><Relationship Id="rId2054" Type="http://schemas.openxmlformats.org/officeDocument/2006/relationships/hyperlink" Target="https://maps.google.com/?q=16.7843,-96.031155" TargetMode="External"/><Relationship Id="rId2261" Type="http://schemas.openxmlformats.org/officeDocument/2006/relationships/hyperlink" Target="https://maps.google.com/?q=17.3515189,-96.52823221" TargetMode="External"/><Relationship Id="rId3105" Type="http://schemas.openxmlformats.org/officeDocument/2006/relationships/hyperlink" Target="https://maps.google.com/?q=17.974626,-96.704202" TargetMode="External"/><Relationship Id="rId3312" Type="http://schemas.openxmlformats.org/officeDocument/2006/relationships/hyperlink" Target="https://maps.google.com/?q=16.785766921392,-96.564577568352" TargetMode="External"/><Relationship Id="rId233" Type="http://schemas.openxmlformats.org/officeDocument/2006/relationships/hyperlink" Target="https://maps.google.com/?q=15.911448353794,-96.210341638669" TargetMode="External"/><Relationship Id="rId440" Type="http://schemas.openxmlformats.org/officeDocument/2006/relationships/hyperlink" Target="https://maps.google.com/?q=17.508999210213,-97.712325220795" TargetMode="External"/><Relationship Id="rId1070" Type="http://schemas.openxmlformats.org/officeDocument/2006/relationships/hyperlink" Target="https://maps.google.com/?q=17.090002,-96.746632" TargetMode="External"/><Relationship Id="rId2121" Type="http://schemas.openxmlformats.org/officeDocument/2006/relationships/hyperlink" Target="https://maps.google.com/?q=16.875041362282,-97.504735749439" TargetMode="External"/><Relationship Id="rId300" Type="http://schemas.openxmlformats.org/officeDocument/2006/relationships/hyperlink" Target="https://maps.google.com/?q=16.498847299906,-98.337505168941" TargetMode="External"/><Relationship Id="rId1887" Type="http://schemas.openxmlformats.org/officeDocument/2006/relationships/hyperlink" Target="https://maps.google.com/?q=16.778057,-96.032292" TargetMode="External"/><Relationship Id="rId2938" Type="http://schemas.openxmlformats.org/officeDocument/2006/relationships/hyperlink" Target="https://maps.google.com/?q=17.082218,-96.743579" TargetMode="External"/><Relationship Id="rId1747" Type="http://schemas.openxmlformats.org/officeDocument/2006/relationships/hyperlink" Target="https://maps.google.com/?q=16.801241,-96.454069" TargetMode="External"/><Relationship Id="rId1954" Type="http://schemas.openxmlformats.org/officeDocument/2006/relationships/hyperlink" Target="https://maps.google.com/?q=16.780716,-96.033855" TargetMode="External"/><Relationship Id="rId39" Type="http://schemas.openxmlformats.org/officeDocument/2006/relationships/hyperlink" Target="https://maps.google.com/?q=17.806621,-97.776162" TargetMode="External"/><Relationship Id="rId1607" Type="http://schemas.openxmlformats.org/officeDocument/2006/relationships/hyperlink" Target="https://maps.google.com/?q=16.936258226576,-97.995778926592" TargetMode="External"/><Relationship Id="rId1814" Type="http://schemas.openxmlformats.org/officeDocument/2006/relationships/hyperlink" Target="https://maps.google.com/?q=16.992752756396,-96.75453780853" TargetMode="External"/><Relationship Id="rId3779" Type="http://schemas.openxmlformats.org/officeDocument/2006/relationships/hyperlink" Target="https://maps.google.com/?q=16.2089955,-97.5305175" TargetMode="External"/><Relationship Id="rId2588" Type="http://schemas.openxmlformats.org/officeDocument/2006/relationships/hyperlink" Target="https://maps.google.com/?q=17.090785630329,-96.736475236151" TargetMode="External"/><Relationship Id="rId3986" Type="http://schemas.openxmlformats.org/officeDocument/2006/relationships/hyperlink" Target="https://maps.google.com/?q=16.89881332,-94.6952923" TargetMode="External"/><Relationship Id="rId1397" Type="http://schemas.openxmlformats.org/officeDocument/2006/relationships/hyperlink" Target="https://maps.google.com/?q=17.664165,-97.333163" TargetMode="External"/><Relationship Id="rId2795" Type="http://schemas.openxmlformats.org/officeDocument/2006/relationships/hyperlink" Target="https://maps.google.com/?q=17.79091,-96.816442" TargetMode="External"/><Relationship Id="rId3639" Type="http://schemas.openxmlformats.org/officeDocument/2006/relationships/hyperlink" Target="https://maps.google.com/?q=16.2057991,-97.52815" TargetMode="External"/><Relationship Id="rId3846" Type="http://schemas.openxmlformats.org/officeDocument/2006/relationships/hyperlink" Target="https://maps.google.com/?q=17.021727108512,-96.711152850259" TargetMode="External"/><Relationship Id="rId767" Type="http://schemas.openxmlformats.org/officeDocument/2006/relationships/hyperlink" Target="https://maps.google.com/?q=17.069805772895,-96.737437079504" TargetMode="External"/><Relationship Id="rId974" Type="http://schemas.openxmlformats.org/officeDocument/2006/relationships/hyperlink" Target="https://maps.google.com/?q=16.985615603587,-96.471100362266" TargetMode="External"/><Relationship Id="rId2448" Type="http://schemas.openxmlformats.org/officeDocument/2006/relationships/hyperlink" Target="https://maps.google.com/?q=16.253455,-96.32853" TargetMode="External"/><Relationship Id="rId2655" Type="http://schemas.openxmlformats.org/officeDocument/2006/relationships/hyperlink" Target="https://maps.google.com/?q=16.64264,-97.504019" TargetMode="External"/><Relationship Id="rId2862" Type="http://schemas.openxmlformats.org/officeDocument/2006/relationships/hyperlink" Target="https://maps.google.com/?q=17.29058398505,-97.383216063139" TargetMode="External"/><Relationship Id="rId3706" Type="http://schemas.openxmlformats.org/officeDocument/2006/relationships/hyperlink" Target="https://maps.google.com/?q=16.2075677,-97.529076" TargetMode="External"/><Relationship Id="rId3913" Type="http://schemas.openxmlformats.org/officeDocument/2006/relationships/hyperlink" Target="https://maps.google.com/?q=16.86258012,-94.72961594" TargetMode="External"/><Relationship Id="rId627" Type="http://schemas.openxmlformats.org/officeDocument/2006/relationships/hyperlink" Target="https://maps.google.com/?q=17.048451406008,-96.724046657864" TargetMode="External"/><Relationship Id="rId834" Type="http://schemas.openxmlformats.org/officeDocument/2006/relationships/hyperlink" Target="https://maps.google.com/?q=17.084937009182,-96.700163812943" TargetMode="External"/><Relationship Id="rId1257" Type="http://schemas.openxmlformats.org/officeDocument/2006/relationships/hyperlink" Target="https://maps.google.com/?q=17.02909929819,-97.781801110451" TargetMode="External"/><Relationship Id="rId1464" Type="http://schemas.openxmlformats.org/officeDocument/2006/relationships/hyperlink" Target="https://maps.google.com/?q=16.95558,-96.479206" TargetMode="External"/><Relationship Id="rId1671" Type="http://schemas.openxmlformats.org/officeDocument/2006/relationships/hyperlink" Target="https://maps.google.com/?q=16.521478,-96.97708" TargetMode="External"/><Relationship Id="rId2308" Type="http://schemas.openxmlformats.org/officeDocument/2006/relationships/hyperlink" Target="https://maps.google.com/?q=17.3585993,-96.52888972" TargetMode="External"/><Relationship Id="rId2515" Type="http://schemas.openxmlformats.org/officeDocument/2006/relationships/hyperlink" Target="https://maps.google.com/?q=16.268049,-96.309449" TargetMode="External"/><Relationship Id="rId2722" Type="http://schemas.openxmlformats.org/officeDocument/2006/relationships/hyperlink" Target="https://maps.google.com/?q=17.062388044876,-96.709477965488" TargetMode="External"/><Relationship Id="rId901" Type="http://schemas.openxmlformats.org/officeDocument/2006/relationships/hyperlink" Target="https://maps.google.com/?q=17.899358,-96.33906" TargetMode="External"/><Relationship Id="rId1117" Type="http://schemas.openxmlformats.org/officeDocument/2006/relationships/hyperlink" Target="https://maps.google.com/?q=16.43245841527,-95.023690161919" TargetMode="External"/><Relationship Id="rId1324" Type="http://schemas.openxmlformats.org/officeDocument/2006/relationships/hyperlink" Target="https://maps.google.com/?q=16.204631852345,-95.204825265047" TargetMode="External"/><Relationship Id="rId1531" Type="http://schemas.openxmlformats.org/officeDocument/2006/relationships/hyperlink" Target="https://maps.google.com/?q=17.724615,-97.323898" TargetMode="External"/><Relationship Id="rId30" Type="http://schemas.openxmlformats.org/officeDocument/2006/relationships/hyperlink" Target="https://maps.google.com/?q=17.331248,-96.487901" TargetMode="External"/><Relationship Id="rId3289" Type="http://schemas.openxmlformats.org/officeDocument/2006/relationships/hyperlink" Target="https://maps.google.com/?q=16.785634923514,-96.564890566743" TargetMode="External"/><Relationship Id="rId3496" Type="http://schemas.openxmlformats.org/officeDocument/2006/relationships/hyperlink" Target="https://maps.google.com/?q=16.790010924361,-96.553643570436" TargetMode="External"/><Relationship Id="rId2098" Type="http://schemas.openxmlformats.org/officeDocument/2006/relationships/hyperlink" Target="https://maps.google.com/?q=16.928051928364,-96.601999307588" TargetMode="External"/><Relationship Id="rId3149" Type="http://schemas.openxmlformats.org/officeDocument/2006/relationships/hyperlink" Target="https://maps.google.com/?q=16.78051633,-96.57745652" TargetMode="External"/><Relationship Id="rId3356" Type="http://schemas.openxmlformats.org/officeDocument/2006/relationships/hyperlink" Target="https://maps.google.com/?q=16.785931918209,-96.571022564184" TargetMode="External"/><Relationship Id="rId3563" Type="http://schemas.openxmlformats.org/officeDocument/2006/relationships/hyperlink" Target="https://maps.google.com/?q=16.2028461,-97.526762" TargetMode="External"/><Relationship Id="rId277" Type="http://schemas.openxmlformats.org/officeDocument/2006/relationships/hyperlink" Target="https://maps.google.com/?q=17.806621,-97.776162" TargetMode="External"/><Relationship Id="rId484" Type="http://schemas.openxmlformats.org/officeDocument/2006/relationships/hyperlink" Target="https://maps.google.com/?q=17.533233318362,-97.72121164418" TargetMode="External"/><Relationship Id="rId2165" Type="http://schemas.openxmlformats.org/officeDocument/2006/relationships/hyperlink" Target="https://maps.google.com/?q=17.04997615,-96.63825348" TargetMode="External"/><Relationship Id="rId3009" Type="http://schemas.openxmlformats.org/officeDocument/2006/relationships/hyperlink" Target="https://maps.google.com/?q=17.96293510549,-96.127340456015" TargetMode="External"/><Relationship Id="rId3216" Type="http://schemas.openxmlformats.org/officeDocument/2006/relationships/hyperlink" Target="https://maps.google.com/?q=16.78498992168,-96.572356565736" TargetMode="External"/><Relationship Id="rId3770" Type="http://schemas.openxmlformats.org/officeDocument/2006/relationships/hyperlink" Target="https://maps.google.com/?q=16.2088701,-97.529296" TargetMode="External"/><Relationship Id="rId137" Type="http://schemas.openxmlformats.org/officeDocument/2006/relationships/hyperlink" Target="https://maps.google.com/?q=17.268475,-97.673564" TargetMode="External"/><Relationship Id="rId344" Type="http://schemas.openxmlformats.org/officeDocument/2006/relationships/hyperlink" Target="https://maps.google.com/?q=16.986303783089,-97.657259696298" TargetMode="External"/><Relationship Id="rId691" Type="http://schemas.openxmlformats.org/officeDocument/2006/relationships/hyperlink" Target="https://maps.google.com/?q=17.052037421147,-96.716446053032" TargetMode="External"/><Relationship Id="rId2025" Type="http://schemas.openxmlformats.org/officeDocument/2006/relationships/hyperlink" Target="https://maps.google.com/?q=16.783334,-96.031319" TargetMode="External"/><Relationship Id="rId2372" Type="http://schemas.openxmlformats.org/officeDocument/2006/relationships/hyperlink" Target="https://maps.google.com/?q=17.38272309,-96.5004871" TargetMode="External"/><Relationship Id="rId3423" Type="http://schemas.openxmlformats.org/officeDocument/2006/relationships/hyperlink" Target="https://maps.google.com/?q=16.786647924278,-96.560135569258" TargetMode="External"/><Relationship Id="rId3630" Type="http://schemas.openxmlformats.org/officeDocument/2006/relationships/hyperlink" Target="https://maps.google.com/?q=16.2055601,-97.526795" TargetMode="External"/><Relationship Id="rId551" Type="http://schemas.openxmlformats.org/officeDocument/2006/relationships/hyperlink" Target="https://maps.google.com/?q=17.071544120503,-96.715912270785" TargetMode="External"/><Relationship Id="rId1181" Type="http://schemas.openxmlformats.org/officeDocument/2006/relationships/hyperlink" Target="https://maps.google.com/?q=16.656547331243,-97.458051382248" TargetMode="External"/><Relationship Id="rId2232" Type="http://schemas.openxmlformats.org/officeDocument/2006/relationships/hyperlink" Target="https://maps.google.com/?q=17.3429736,-96.52890161" TargetMode="External"/><Relationship Id="rId204" Type="http://schemas.openxmlformats.org/officeDocument/2006/relationships/hyperlink" Target="https://maps.google.com/?q=15.906317850269,-96.221490435162" TargetMode="External"/><Relationship Id="rId411" Type="http://schemas.openxmlformats.org/officeDocument/2006/relationships/hyperlink" Target="https://maps.google.com/?q=17.539795277542,-97.739030317281" TargetMode="External"/><Relationship Id="rId1041" Type="http://schemas.openxmlformats.org/officeDocument/2006/relationships/hyperlink" Target="https://maps.google.com/?q=16.95558,-96.479206" TargetMode="External"/><Relationship Id="rId1998" Type="http://schemas.openxmlformats.org/officeDocument/2006/relationships/hyperlink" Target="https://maps.google.com/?q=16.782569,-96.032342" TargetMode="External"/><Relationship Id="rId1858" Type="http://schemas.openxmlformats.org/officeDocument/2006/relationships/hyperlink" Target="https://maps.google.com/?q=16.069872699662,-96.301802550926" TargetMode="External"/><Relationship Id="rId2909" Type="http://schemas.openxmlformats.org/officeDocument/2006/relationships/hyperlink" Target="https://maps.google.com/?q=16.625469,-97.816756" TargetMode="External"/><Relationship Id="rId3073" Type="http://schemas.openxmlformats.org/officeDocument/2006/relationships/hyperlink" Target="https://maps.google.com/?q=16.2593,-97.213101" TargetMode="External"/><Relationship Id="rId3280" Type="http://schemas.openxmlformats.org/officeDocument/2006/relationships/hyperlink" Target="https://maps.google.com/?q=16.785563926478,-96.562368573481" TargetMode="External"/><Relationship Id="rId1718" Type="http://schemas.openxmlformats.org/officeDocument/2006/relationships/hyperlink" Target="https://maps.google.com/?q=16.794711,-96.462849" TargetMode="External"/><Relationship Id="rId1925" Type="http://schemas.openxmlformats.org/officeDocument/2006/relationships/hyperlink" Target="https://maps.google.com/?q=16.779557,-96.037517" TargetMode="External"/><Relationship Id="rId3140" Type="http://schemas.openxmlformats.org/officeDocument/2006/relationships/hyperlink" Target="https://maps.google.com/?q=16.77777266,-96.58254461" TargetMode="External"/><Relationship Id="rId2699" Type="http://schemas.openxmlformats.org/officeDocument/2006/relationships/hyperlink" Target="https://maps.google.com/?q=17.070781522077,-96.715670652075" TargetMode="External"/><Relationship Id="rId3000" Type="http://schemas.openxmlformats.org/officeDocument/2006/relationships/hyperlink" Target="https://maps.google.com/?q=15.959117056787,-96.769232262952" TargetMode="External"/><Relationship Id="rId3957" Type="http://schemas.openxmlformats.org/officeDocument/2006/relationships/hyperlink" Target="https://maps.google.com/?q=16.88668574,-94.70735708" TargetMode="External"/><Relationship Id="rId878" Type="http://schemas.openxmlformats.org/officeDocument/2006/relationships/hyperlink" Target="https://maps.google.com/?q=17.120147277573,-96.767236058689" TargetMode="External"/><Relationship Id="rId2559" Type="http://schemas.openxmlformats.org/officeDocument/2006/relationships/hyperlink" Target="https://maps.google.com/?q=17.0870388696,-96.7377147504" TargetMode="External"/><Relationship Id="rId2766" Type="http://schemas.openxmlformats.org/officeDocument/2006/relationships/hyperlink" Target="https://maps.google.com/?q=17.786746,-96.804404" TargetMode="External"/><Relationship Id="rId2973" Type="http://schemas.openxmlformats.org/officeDocument/2006/relationships/hyperlink" Target="https://maps.google.com/?q=17.804229498968,-96.959558736766" TargetMode="External"/><Relationship Id="rId3817" Type="http://schemas.openxmlformats.org/officeDocument/2006/relationships/hyperlink" Target="https://maps.google.com/?q=16.2124691,-97.5298591" TargetMode="External"/><Relationship Id="rId738" Type="http://schemas.openxmlformats.org/officeDocument/2006/relationships/hyperlink" Target="https://maps.google.com/?q=17.060264178925,-96.706201520878" TargetMode="External"/><Relationship Id="rId945" Type="http://schemas.openxmlformats.org/officeDocument/2006/relationships/hyperlink" Target="https://maps.google.com/?q=17.094993559462,-97.497190486729" TargetMode="External"/><Relationship Id="rId1368" Type="http://schemas.openxmlformats.org/officeDocument/2006/relationships/hyperlink" Target="https://maps.google.com/?q=16.965206155291,-96.024005529747" TargetMode="External"/><Relationship Id="rId1575" Type="http://schemas.openxmlformats.org/officeDocument/2006/relationships/hyperlink" Target="https://maps.google.com/?q=17.059714287,-96.70536325" TargetMode="External"/><Relationship Id="rId1782" Type="http://schemas.openxmlformats.org/officeDocument/2006/relationships/hyperlink" Target="https://maps.google.com/?q=17.98461,-96.82534" TargetMode="External"/><Relationship Id="rId2419" Type="http://schemas.openxmlformats.org/officeDocument/2006/relationships/hyperlink" Target="https://maps.google.com/?q=16.250145,-96.341484" TargetMode="External"/><Relationship Id="rId2626" Type="http://schemas.openxmlformats.org/officeDocument/2006/relationships/hyperlink" Target="https://maps.google.com/?q=17.284979,-97.174459" TargetMode="External"/><Relationship Id="rId2833" Type="http://schemas.openxmlformats.org/officeDocument/2006/relationships/hyperlink" Target="https://maps.google.com/?q=17.283375804315,-97.373540777498" TargetMode="External"/><Relationship Id="rId74" Type="http://schemas.openxmlformats.org/officeDocument/2006/relationships/hyperlink" Target="https://maps.google.com/?q=16.434564,-96.900453" TargetMode="External"/><Relationship Id="rId805" Type="http://schemas.openxmlformats.org/officeDocument/2006/relationships/hyperlink" Target="https://maps.google.com/?q=17.083179349883,-96.695547560911" TargetMode="External"/><Relationship Id="rId1228" Type="http://schemas.openxmlformats.org/officeDocument/2006/relationships/hyperlink" Target="https://maps.google.com/?q=17.773622087631,-96.979562017197" TargetMode="External"/><Relationship Id="rId1435" Type="http://schemas.openxmlformats.org/officeDocument/2006/relationships/hyperlink" Target="https://maps.google.com/?q=17.511838,-97.488548" TargetMode="External"/><Relationship Id="rId1642" Type="http://schemas.openxmlformats.org/officeDocument/2006/relationships/hyperlink" Target="https://maps.google.com/?q=16.843181,-95.534407" TargetMode="External"/><Relationship Id="rId2900" Type="http://schemas.openxmlformats.org/officeDocument/2006/relationships/hyperlink" Target="https://maps.google.com/?q=16.82329,-97.723099" TargetMode="External"/><Relationship Id="rId1502" Type="http://schemas.openxmlformats.org/officeDocument/2006/relationships/hyperlink" Target="https://maps.google.com/?q=16.909824549155,-96.722174193917" TargetMode="External"/><Relationship Id="rId388" Type="http://schemas.openxmlformats.org/officeDocument/2006/relationships/hyperlink" Target="https://maps.google.com/?q=17.47432769767,-97.707639294478" TargetMode="External"/><Relationship Id="rId2069" Type="http://schemas.openxmlformats.org/officeDocument/2006/relationships/hyperlink" Target="https://maps.google.com/?q=16.784993,-96.030792" TargetMode="External"/><Relationship Id="rId3467" Type="http://schemas.openxmlformats.org/officeDocument/2006/relationships/hyperlink" Target="https://maps.google.com/?q=16.788827927209,-96.551418576223" TargetMode="External"/><Relationship Id="rId3674" Type="http://schemas.openxmlformats.org/officeDocument/2006/relationships/hyperlink" Target="https://maps.google.com/?q=16.2069771,-97.53009" TargetMode="External"/><Relationship Id="rId3881" Type="http://schemas.openxmlformats.org/officeDocument/2006/relationships/hyperlink" Target="https://maps.google.com/?q=17.827383,-97.804278" TargetMode="External"/><Relationship Id="rId595" Type="http://schemas.openxmlformats.org/officeDocument/2006/relationships/hyperlink" Target="https://maps.google.com/?q=17.045984622994,-96.722676320694" TargetMode="External"/><Relationship Id="rId2276" Type="http://schemas.openxmlformats.org/officeDocument/2006/relationships/hyperlink" Target="https://maps.google.com/?q=17.35334072,-96.5367948" TargetMode="External"/><Relationship Id="rId2483" Type="http://schemas.openxmlformats.org/officeDocument/2006/relationships/hyperlink" Target="https://maps.google.com/?q=16.257417,-96.318434" TargetMode="External"/><Relationship Id="rId2690" Type="http://schemas.openxmlformats.org/officeDocument/2006/relationships/hyperlink" Target="https://maps.google.com/?q=17.066400034854,-96.733940879147" TargetMode="External"/><Relationship Id="rId3327" Type="http://schemas.openxmlformats.org/officeDocument/2006/relationships/hyperlink" Target="https://maps.google.com/?q=16.785824927229,-96.564721571721" TargetMode="External"/><Relationship Id="rId3534" Type="http://schemas.openxmlformats.org/officeDocument/2006/relationships/hyperlink" Target="https://maps.google.com/?q=16.790924928496,-96.55433657281" TargetMode="External"/><Relationship Id="rId3741" Type="http://schemas.openxmlformats.org/officeDocument/2006/relationships/hyperlink" Target="https://maps.google.com/?q=16.2083051,-97.528203" TargetMode="External"/><Relationship Id="rId248" Type="http://schemas.openxmlformats.org/officeDocument/2006/relationships/hyperlink" Target="https://maps.google.com/?q=16.286487,-98.354638" TargetMode="External"/><Relationship Id="rId455" Type="http://schemas.openxmlformats.org/officeDocument/2006/relationships/hyperlink" Target="https://maps.google.com/?q=17.495326635083,-97.724759111657" TargetMode="External"/><Relationship Id="rId662" Type="http://schemas.openxmlformats.org/officeDocument/2006/relationships/hyperlink" Target="https://maps.google.com/?q=17.050643823323,-96.716612828444" TargetMode="External"/><Relationship Id="rId1085" Type="http://schemas.openxmlformats.org/officeDocument/2006/relationships/hyperlink" Target="https://maps.google.com/?q=17.115728,-96.75857" TargetMode="External"/><Relationship Id="rId1292" Type="http://schemas.openxmlformats.org/officeDocument/2006/relationships/hyperlink" Target="https://maps.google.com/?q=17.200330541197,-96.790059958336" TargetMode="External"/><Relationship Id="rId2136" Type="http://schemas.openxmlformats.org/officeDocument/2006/relationships/hyperlink" Target="https://maps.google.com/?q=16.877421128077,-97.505148772016" TargetMode="External"/><Relationship Id="rId2343" Type="http://schemas.openxmlformats.org/officeDocument/2006/relationships/hyperlink" Target="https://maps.google.com/?q=17.37900958,-96.50471397" TargetMode="External"/><Relationship Id="rId2550" Type="http://schemas.openxmlformats.org/officeDocument/2006/relationships/hyperlink" Target="https://maps.google.com/?q=16.634780606864,-97.039692484451" TargetMode="External"/><Relationship Id="rId3601" Type="http://schemas.openxmlformats.org/officeDocument/2006/relationships/hyperlink" Target="https://maps.google.com/?q=16.2053441,-97.524457" TargetMode="External"/><Relationship Id="rId108" Type="http://schemas.openxmlformats.org/officeDocument/2006/relationships/hyperlink" Target="https://maps.google.com/?q=17.002037049493,-96.598755365132" TargetMode="External"/><Relationship Id="rId315" Type="http://schemas.openxmlformats.org/officeDocument/2006/relationships/hyperlink" Target="https://maps.google.com/?q=16.9422902,-96.71247" TargetMode="External"/><Relationship Id="rId522" Type="http://schemas.openxmlformats.org/officeDocument/2006/relationships/hyperlink" Target="https://maps.google.com/?q=16.545518624776,-98.068256391138" TargetMode="External"/><Relationship Id="rId1152" Type="http://schemas.openxmlformats.org/officeDocument/2006/relationships/hyperlink" Target="https://maps.google.com/?q=16.968627325481,-95.757596950891" TargetMode="External"/><Relationship Id="rId2203" Type="http://schemas.openxmlformats.org/officeDocument/2006/relationships/hyperlink" Target="https://maps.google.com/?q=16.639149093252,-96.585901248549" TargetMode="External"/><Relationship Id="rId2410" Type="http://schemas.openxmlformats.org/officeDocument/2006/relationships/hyperlink" Target="https://maps.google.com/?q=16.24962,-96.340945" TargetMode="External"/><Relationship Id="rId1012" Type="http://schemas.openxmlformats.org/officeDocument/2006/relationships/hyperlink" Target="https://maps.google.com/?q=17.467118,-97.359363" TargetMode="External"/><Relationship Id="rId1969" Type="http://schemas.openxmlformats.org/officeDocument/2006/relationships/hyperlink" Target="https://maps.google.com/?q=16.781296,-96.033096" TargetMode="External"/><Relationship Id="rId3184" Type="http://schemas.openxmlformats.org/officeDocument/2006/relationships/hyperlink" Target="https://maps.google.com/?q=16.784462921966,-96.566312570467" TargetMode="External"/><Relationship Id="rId1829" Type="http://schemas.openxmlformats.org/officeDocument/2006/relationships/hyperlink" Target="https://maps.google.com/?q=17.022677,-96.716768" TargetMode="External"/><Relationship Id="rId3391" Type="http://schemas.openxmlformats.org/officeDocument/2006/relationships/hyperlink" Target="https://maps.google.com/?q=16.78609928,-96.57893961" TargetMode="External"/><Relationship Id="rId3044" Type="http://schemas.openxmlformats.org/officeDocument/2006/relationships/hyperlink" Target="https://maps.google.com/?q=18.594261,-96.671211" TargetMode="External"/><Relationship Id="rId3251" Type="http://schemas.openxmlformats.org/officeDocument/2006/relationships/hyperlink" Target="https://maps.google.com/?q=16.785320922805,-96.565698568809" TargetMode="External"/><Relationship Id="rId172" Type="http://schemas.openxmlformats.org/officeDocument/2006/relationships/hyperlink" Target="https://maps.google.com/?q=17.274339,-97.672102" TargetMode="External"/><Relationship Id="rId2060" Type="http://schemas.openxmlformats.org/officeDocument/2006/relationships/hyperlink" Target="https://maps.google.com/?q=16.784465,-96.030511" TargetMode="External"/><Relationship Id="rId3111" Type="http://schemas.openxmlformats.org/officeDocument/2006/relationships/hyperlink" Target="https://maps.google.com/?q=17.975175,-96.706318" TargetMode="External"/><Relationship Id="rId989" Type="http://schemas.openxmlformats.org/officeDocument/2006/relationships/hyperlink" Target="https://maps.google.com/?q=17.462922,-97.349129" TargetMode="External"/><Relationship Id="rId2877" Type="http://schemas.openxmlformats.org/officeDocument/2006/relationships/hyperlink" Target="https://maps.google.com/?q=17.056182020297,-96.821136473817" TargetMode="External"/><Relationship Id="rId849" Type="http://schemas.openxmlformats.org/officeDocument/2006/relationships/hyperlink" Target="https://maps.google.com/?q=17.086123217585,-96.697168139065" TargetMode="External"/><Relationship Id="rId1479" Type="http://schemas.openxmlformats.org/officeDocument/2006/relationships/hyperlink" Target="https://maps.google.com/?q=17.806621,-97.776162" TargetMode="External"/><Relationship Id="rId1686" Type="http://schemas.openxmlformats.org/officeDocument/2006/relationships/hyperlink" Target="https://maps.google.com/?q=16.523786,-96.978423" TargetMode="External"/><Relationship Id="rId3928" Type="http://schemas.openxmlformats.org/officeDocument/2006/relationships/hyperlink" Target="https://maps.google.com/?q=16.86745717,-94.72562496" TargetMode="External"/><Relationship Id="rId1339" Type="http://schemas.openxmlformats.org/officeDocument/2006/relationships/hyperlink" Target="https://maps.google.com/?q=17.236803206338,-97.92182870108" TargetMode="External"/><Relationship Id="rId1893" Type="http://schemas.openxmlformats.org/officeDocument/2006/relationships/hyperlink" Target="https://maps.google.com/?q=16.778365,-96.032691" TargetMode="External"/><Relationship Id="rId2737" Type="http://schemas.openxmlformats.org/officeDocument/2006/relationships/hyperlink" Target="https://maps.google.com/?q=15.706330762656,-96.486594026715" TargetMode="External"/><Relationship Id="rId2944" Type="http://schemas.openxmlformats.org/officeDocument/2006/relationships/hyperlink" Target="https://maps.google.com/?q=17.765862885966,-96.958016270433" TargetMode="External"/><Relationship Id="rId709" Type="http://schemas.openxmlformats.org/officeDocument/2006/relationships/hyperlink" Target="https://maps.google.com/?q=17.054382109774,-96.707545006012" TargetMode="External"/><Relationship Id="rId916" Type="http://schemas.openxmlformats.org/officeDocument/2006/relationships/hyperlink" Target="https://maps.google.com/?q=17.64998,-98.083727" TargetMode="External"/><Relationship Id="rId1546" Type="http://schemas.openxmlformats.org/officeDocument/2006/relationships/hyperlink" Target="https://maps.google.com/?q=17.423568,-97.3165" TargetMode="External"/><Relationship Id="rId1753" Type="http://schemas.openxmlformats.org/officeDocument/2006/relationships/hyperlink" Target="https://maps.google.com/?q=16.803628,-96.452819" TargetMode="External"/><Relationship Id="rId1960" Type="http://schemas.openxmlformats.org/officeDocument/2006/relationships/hyperlink" Target="https://maps.google.com/?q=16.780927,-96.032935" TargetMode="External"/><Relationship Id="rId2804" Type="http://schemas.openxmlformats.org/officeDocument/2006/relationships/hyperlink" Target="https://maps.google.com/?q=17.796447,-96.818034" TargetMode="External"/><Relationship Id="rId45" Type="http://schemas.openxmlformats.org/officeDocument/2006/relationships/hyperlink" Target="https://maps.google.com/?q=16.175306,-95.1925" TargetMode="External"/><Relationship Id="rId1406" Type="http://schemas.openxmlformats.org/officeDocument/2006/relationships/hyperlink" Target="https://maps.google.com/?q=17.063159,-96.724316" TargetMode="External"/><Relationship Id="rId1613" Type="http://schemas.openxmlformats.org/officeDocument/2006/relationships/hyperlink" Target="https://maps.google.com/?q=16.093288739943,-97.406046001417" TargetMode="External"/><Relationship Id="rId1820" Type="http://schemas.openxmlformats.org/officeDocument/2006/relationships/hyperlink" Target="https://maps.google.com/?q=16.738467766608,-96.315234864702" TargetMode="External"/><Relationship Id="rId3578" Type="http://schemas.openxmlformats.org/officeDocument/2006/relationships/hyperlink" Target="https://maps.google.com/?q=16.2047671,-97.530063" TargetMode="External"/><Relationship Id="rId3785" Type="http://schemas.openxmlformats.org/officeDocument/2006/relationships/hyperlink" Target="https://maps.google.com/?q=16.2091121,-97.531962" TargetMode="External"/><Relationship Id="rId3992" Type="http://schemas.openxmlformats.org/officeDocument/2006/relationships/hyperlink" Target="https://maps.google.com/?q=16.9000674,-94.69443997" TargetMode="External"/><Relationship Id="rId499" Type="http://schemas.openxmlformats.org/officeDocument/2006/relationships/hyperlink" Target="https://maps.google.com/?q=17.529337,-97.789866" TargetMode="External"/><Relationship Id="rId2387" Type="http://schemas.openxmlformats.org/officeDocument/2006/relationships/hyperlink" Target="https://maps.google.com/?q=16.248431,-96.346183" TargetMode="External"/><Relationship Id="rId2594" Type="http://schemas.openxmlformats.org/officeDocument/2006/relationships/hyperlink" Target="https://maps.google.com/?q=17.09120280234,-96.736606616741" TargetMode="External"/><Relationship Id="rId3438" Type="http://schemas.openxmlformats.org/officeDocument/2006/relationships/hyperlink" Target="https://maps.google.com/?q=16.787714927388,-96.555886567841" TargetMode="External"/><Relationship Id="rId3645" Type="http://schemas.openxmlformats.org/officeDocument/2006/relationships/hyperlink" Target="https://maps.google.com/?q=16.2059321,-97.526861" TargetMode="External"/><Relationship Id="rId3852" Type="http://schemas.openxmlformats.org/officeDocument/2006/relationships/hyperlink" Target="https://maps.google.com/?q=17.026605454947,-96.710117280165" TargetMode="External"/><Relationship Id="rId359" Type="http://schemas.openxmlformats.org/officeDocument/2006/relationships/hyperlink" Target="https://maps.google.com/?q=17.021599761809,-97.660708120779" TargetMode="External"/><Relationship Id="rId566" Type="http://schemas.openxmlformats.org/officeDocument/2006/relationships/hyperlink" Target="https://maps.google.com/?q=17.039148870849,-96.717464516006" TargetMode="External"/><Relationship Id="rId773" Type="http://schemas.openxmlformats.org/officeDocument/2006/relationships/hyperlink" Target="https://maps.google.com/?q=17.074654112675,-96.740280814744" TargetMode="External"/><Relationship Id="rId1196" Type="http://schemas.openxmlformats.org/officeDocument/2006/relationships/hyperlink" Target="https://maps.google.com/?q=16.557982717122,-96.359376303709" TargetMode="External"/><Relationship Id="rId2247" Type="http://schemas.openxmlformats.org/officeDocument/2006/relationships/hyperlink" Target="https://maps.google.com/?q=17.34958332,-96.52874722" TargetMode="External"/><Relationship Id="rId2454" Type="http://schemas.openxmlformats.org/officeDocument/2006/relationships/hyperlink" Target="https://maps.google.com/?q=16.253947,-96.328236" TargetMode="External"/><Relationship Id="rId3505" Type="http://schemas.openxmlformats.org/officeDocument/2006/relationships/hyperlink" Target="https://maps.google.com/?q=16.790251927671,-96.553614573745" TargetMode="External"/><Relationship Id="rId219" Type="http://schemas.openxmlformats.org/officeDocument/2006/relationships/hyperlink" Target="https://maps.google.com/?q=15.908817112013,-96.219197517158" TargetMode="External"/><Relationship Id="rId426" Type="http://schemas.openxmlformats.org/officeDocument/2006/relationships/hyperlink" Target="https://maps.google.com/?q=17.503156526213,-97.730261626693" TargetMode="External"/><Relationship Id="rId633" Type="http://schemas.openxmlformats.org/officeDocument/2006/relationships/hyperlink" Target="https://maps.google.com/?q=17.048854507991,-96.71677034211" TargetMode="External"/><Relationship Id="rId980" Type="http://schemas.openxmlformats.org/officeDocument/2006/relationships/hyperlink" Target="https://maps.google.com/?q=17.089696,-97.114385" TargetMode="External"/><Relationship Id="rId1056" Type="http://schemas.openxmlformats.org/officeDocument/2006/relationships/hyperlink" Target="https://maps.google.com/?q=17.806621,-97.776162" TargetMode="External"/><Relationship Id="rId1263" Type="http://schemas.openxmlformats.org/officeDocument/2006/relationships/hyperlink" Target="https://maps.google.com/?q=17.760645830036,-96.079007017197" TargetMode="External"/><Relationship Id="rId2107" Type="http://schemas.openxmlformats.org/officeDocument/2006/relationships/hyperlink" Target="https://maps.google.com/?q=16.92906692959,-96.604325662461" TargetMode="External"/><Relationship Id="rId2314" Type="http://schemas.openxmlformats.org/officeDocument/2006/relationships/hyperlink" Target="https://maps.google.com/?q=17.36732825,-96.50883212" TargetMode="External"/><Relationship Id="rId2661" Type="http://schemas.openxmlformats.org/officeDocument/2006/relationships/hyperlink" Target="https://maps.google.com/?q=17.060107630574,-96.715803781788" TargetMode="External"/><Relationship Id="rId3712" Type="http://schemas.openxmlformats.org/officeDocument/2006/relationships/hyperlink" Target="https://maps.google.com/?q=16.2077501,-97.532344" TargetMode="External"/><Relationship Id="rId840" Type="http://schemas.openxmlformats.org/officeDocument/2006/relationships/hyperlink" Target="https://maps.google.com/?q=17.085325795015,-96.698476580928" TargetMode="External"/><Relationship Id="rId1470" Type="http://schemas.openxmlformats.org/officeDocument/2006/relationships/hyperlink" Target="https://maps.google.com/?q=17.331248,-96.487901" TargetMode="External"/><Relationship Id="rId2521" Type="http://schemas.openxmlformats.org/officeDocument/2006/relationships/hyperlink" Target="https://maps.google.com/?q=16.269273,-96.310332" TargetMode="External"/><Relationship Id="rId700" Type="http://schemas.openxmlformats.org/officeDocument/2006/relationships/hyperlink" Target="https://maps.google.com/?q=17.052798743042,-96.715912325036" TargetMode="External"/><Relationship Id="rId1123" Type="http://schemas.openxmlformats.org/officeDocument/2006/relationships/hyperlink" Target="https://maps.google.com/?q=17.046799,-96.729403" TargetMode="External"/><Relationship Id="rId1330" Type="http://schemas.openxmlformats.org/officeDocument/2006/relationships/hyperlink" Target="https://maps.google.com/?q=17.696082365106,-97.732564373016" TargetMode="External"/><Relationship Id="rId3088" Type="http://schemas.openxmlformats.org/officeDocument/2006/relationships/hyperlink" Target="https://maps.google.com/?q=17.97001,-96.6905" TargetMode="External"/><Relationship Id="rId3295" Type="http://schemas.openxmlformats.org/officeDocument/2006/relationships/hyperlink" Target="https://maps.google.com/?q=16.785646922428,-96.56220856552" TargetMode="External"/><Relationship Id="rId3155" Type="http://schemas.openxmlformats.org/officeDocument/2006/relationships/hyperlink" Target="https://maps.google.com/?q=16.783265925174,-96.567355562174" TargetMode="External"/><Relationship Id="rId3362" Type="http://schemas.openxmlformats.org/officeDocument/2006/relationships/hyperlink" Target="https://maps.google.com/?q=16.785944924621,-96.560946570384" TargetMode="External"/><Relationship Id="rId283" Type="http://schemas.openxmlformats.org/officeDocument/2006/relationships/hyperlink" Target="https://maps.google.com/?q=17.70579,-97.071781" TargetMode="External"/><Relationship Id="rId490" Type="http://schemas.openxmlformats.org/officeDocument/2006/relationships/hyperlink" Target="https://maps.google.com/?q=17.534568303186,-97.718525157594" TargetMode="External"/><Relationship Id="rId2171" Type="http://schemas.openxmlformats.org/officeDocument/2006/relationships/hyperlink" Target="https://maps.google.com/?q=17.05014737,-96.63664051" TargetMode="External"/><Relationship Id="rId3015" Type="http://schemas.openxmlformats.org/officeDocument/2006/relationships/hyperlink" Target="https://maps.google.com/?q=17.96434487545,-96.126073214848" TargetMode="External"/><Relationship Id="rId3222" Type="http://schemas.openxmlformats.org/officeDocument/2006/relationships/hyperlink" Target="https://maps.google.com/?q=16.785041926046,-96.569664563116" TargetMode="External"/><Relationship Id="rId143" Type="http://schemas.openxmlformats.org/officeDocument/2006/relationships/hyperlink" Target="https://maps.google.com/?q=17.269216,-97.673596" TargetMode="External"/><Relationship Id="rId350" Type="http://schemas.openxmlformats.org/officeDocument/2006/relationships/hyperlink" Target="https://maps.google.com/?q=17.015903565639,-97.660607857547" TargetMode="External"/><Relationship Id="rId2031" Type="http://schemas.openxmlformats.org/officeDocument/2006/relationships/hyperlink" Target="https://maps.google.com/?q=16.783473,-96.03179" TargetMode="External"/><Relationship Id="rId9" Type="http://schemas.openxmlformats.org/officeDocument/2006/relationships/hyperlink" Target="https://maps.google.com/?q=16.892823742696,-96.50297956294" TargetMode="External"/><Relationship Id="rId210" Type="http://schemas.openxmlformats.org/officeDocument/2006/relationships/hyperlink" Target="https://maps.google.com/?q=15.907473564649,-96.220765252869" TargetMode="External"/><Relationship Id="rId2988" Type="http://schemas.openxmlformats.org/officeDocument/2006/relationships/hyperlink" Target="https://maps.google.com/?q=17.55679152,-97.81224702" TargetMode="External"/><Relationship Id="rId1797" Type="http://schemas.openxmlformats.org/officeDocument/2006/relationships/hyperlink" Target="https://maps.google.com/?q=17.98836,-96.83212" TargetMode="External"/><Relationship Id="rId2848" Type="http://schemas.openxmlformats.org/officeDocument/2006/relationships/hyperlink" Target="https://maps.google.com/?q=17.28742869942,-97.368122715288" TargetMode="External"/><Relationship Id="rId89" Type="http://schemas.openxmlformats.org/officeDocument/2006/relationships/hyperlink" Target="https://maps.google.com/?q=17.092501866194,-96.739130104826" TargetMode="External"/><Relationship Id="rId1657" Type="http://schemas.openxmlformats.org/officeDocument/2006/relationships/hyperlink" Target="https://maps.google.com/?q=16.517278,-96.977217" TargetMode="External"/><Relationship Id="rId1864" Type="http://schemas.openxmlformats.org/officeDocument/2006/relationships/hyperlink" Target="https://maps.google.com/?q=16.070368902851,-96.302478842866" TargetMode="External"/><Relationship Id="rId2708" Type="http://schemas.openxmlformats.org/officeDocument/2006/relationships/hyperlink" Target="https://maps.google.com/?q=17.078708539084,-96.715692811353" TargetMode="External"/><Relationship Id="rId2915" Type="http://schemas.openxmlformats.org/officeDocument/2006/relationships/hyperlink" Target="https://maps.google.com/?q=16.543606,-97.822269" TargetMode="External"/><Relationship Id="rId1517" Type="http://schemas.openxmlformats.org/officeDocument/2006/relationships/hyperlink" Target="https://maps.google.com/?q=16.950706,-96.750504" TargetMode="External"/><Relationship Id="rId1724" Type="http://schemas.openxmlformats.org/officeDocument/2006/relationships/hyperlink" Target="https://maps.google.com/?q=16.796727,-96.453558" TargetMode="External"/><Relationship Id="rId16" Type="http://schemas.openxmlformats.org/officeDocument/2006/relationships/hyperlink" Target="https://maps.google.com/?q=16.332014,-95.231966" TargetMode="External"/><Relationship Id="rId1931" Type="http://schemas.openxmlformats.org/officeDocument/2006/relationships/hyperlink" Target="https://maps.google.com/?q=16.779984,-96.036734" TargetMode="External"/><Relationship Id="rId3689" Type="http://schemas.openxmlformats.org/officeDocument/2006/relationships/hyperlink" Target="https://maps.google.com/?q=16.2071941,-97.530468" TargetMode="External"/><Relationship Id="rId3896" Type="http://schemas.openxmlformats.org/officeDocument/2006/relationships/hyperlink" Target="https://maps.google.com/?q=16.85920737,-94.73736468" TargetMode="External"/><Relationship Id="rId2498" Type="http://schemas.openxmlformats.org/officeDocument/2006/relationships/hyperlink" Target="https://maps.google.com/?q=16.262352,-96.312006" TargetMode="External"/><Relationship Id="rId3549" Type="http://schemas.openxmlformats.org/officeDocument/2006/relationships/hyperlink" Target="https://maps.google.com/?q=16.791399924403,-96.551892571093" TargetMode="External"/><Relationship Id="rId677" Type="http://schemas.openxmlformats.org/officeDocument/2006/relationships/hyperlink" Target="https://maps.google.com/?q=17.05115660245,-96.724508473178" TargetMode="External"/><Relationship Id="rId2358" Type="http://schemas.openxmlformats.org/officeDocument/2006/relationships/hyperlink" Target="https://maps.google.com/?q=17.3799009,-96.50448554" TargetMode="External"/><Relationship Id="rId3756" Type="http://schemas.openxmlformats.org/officeDocument/2006/relationships/hyperlink" Target="https://maps.google.com/?q=16.2085321,-97.529293" TargetMode="External"/><Relationship Id="rId3963" Type="http://schemas.openxmlformats.org/officeDocument/2006/relationships/hyperlink" Target="https://maps.google.com/?q=16.88988611,-94.70609063" TargetMode="External"/><Relationship Id="rId884" Type="http://schemas.openxmlformats.org/officeDocument/2006/relationships/hyperlink" Target="https://maps.google.com/?q=17.1215074,-96.7653654" TargetMode="External"/><Relationship Id="rId2565" Type="http://schemas.openxmlformats.org/officeDocument/2006/relationships/hyperlink" Target="https://maps.google.com/?q=17.0883724893,-96.73777782" TargetMode="External"/><Relationship Id="rId2772" Type="http://schemas.openxmlformats.org/officeDocument/2006/relationships/hyperlink" Target="https://maps.google.com/?q=17.787653,-96.807184" TargetMode="External"/><Relationship Id="rId3409" Type="http://schemas.openxmlformats.org/officeDocument/2006/relationships/hyperlink" Target="https://maps.google.com/?q=16.78636472,-96.57881989" TargetMode="External"/><Relationship Id="rId3616" Type="http://schemas.openxmlformats.org/officeDocument/2006/relationships/hyperlink" Target="https://maps.google.com/?q=16.2054251,-97.525676" TargetMode="External"/><Relationship Id="rId3823" Type="http://schemas.openxmlformats.org/officeDocument/2006/relationships/hyperlink" Target="https://maps.google.com/?q=16.2133481,-97.52987" TargetMode="External"/><Relationship Id="rId537" Type="http://schemas.openxmlformats.org/officeDocument/2006/relationships/hyperlink" Target="https://maps.google.com/?q=17.071544120503,-96.715912270785" TargetMode="External"/><Relationship Id="rId744" Type="http://schemas.openxmlformats.org/officeDocument/2006/relationships/hyperlink" Target="https://maps.google.com/?q=17.061227223405,-96.732068208889" TargetMode="External"/><Relationship Id="rId951" Type="http://schemas.openxmlformats.org/officeDocument/2006/relationships/hyperlink" Target="https://maps.google.com/?q=16.00250919812,-96.645917890358" TargetMode="External"/><Relationship Id="rId1167" Type="http://schemas.openxmlformats.org/officeDocument/2006/relationships/hyperlink" Target="https://maps.google.com/?q=16.739580729964,-95.351942100525" TargetMode="External"/><Relationship Id="rId1374" Type="http://schemas.openxmlformats.org/officeDocument/2006/relationships/hyperlink" Target="https://maps.google.com/?q=16.099878880469,-96.194932770674" TargetMode="External"/><Relationship Id="rId1581" Type="http://schemas.openxmlformats.org/officeDocument/2006/relationships/hyperlink" Target="https://maps.google.com/?q=17.02518632,-96.713124" TargetMode="External"/><Relationship Id="rId2218" Type="http://schemas.openxmlformats.org/officeDocument/2006/relationships/hyperlink" Target="https://maps.google.com/?q=16.644568158165,-96.571570728785" TargetMode="External"/><Relationship Id="rId2425" Type="http://schemas.openxmlformats.org/officeDocument/2006/relationships/hyperlink" Target="https://maps.google.com/?q=16.250533,-96.345533" TargetMode="External"/><Relationship Id="rId2632" Type="http://schemas.openxmlformats.org/officeDocument/2006/relationships/hyperlink" Target="https://maps.google.com/?q=17.04284561744,-96.7210664641" TargetMode="External"/><Relationship Id="rId80" Type="http://schemas.openxmlformats.org/officeDocument/2006/relationships/hyperlink" Target="https://maps.google.com/?q=15.821626371006,-96.068314345707" TargetMode="External"/><Relationship Id="rId604" Type="http://schemas.openxmlformats.org/officeDocument/2006/relationships/hyperlink" Target="https://maps.google.com/?q=17.046502642278,-96.718062573411" TargetMode="External"/><Relationship Id="rId811" Type="http://schemas.openxmlformats.org/officeDocument/2006/relationships/hyperlink" Target="https://maps.google.com/?q=17.083541474872,-96.696609097162" TargetMode="External"/><Relationship Id="rId1027" Type="http://schemas.openxmlformats.org/officeDocument/2006/relationships/hyperlink" Target="https://maps.google.com/?q=17.026246745965,-96.772260045177" TargetMode="External"/><Relationship Id="rId1234" Type="http://schemas.openxmlformats.org/officeDocument/2006/relationships/hyperlink" Target="https://maps.google.com/?q=15.754362653363,-96.132335084534" TargetMode="External"/><Relationship Id="rId1441" Type="http://schemas.openxmlformats.org/officeDocument/2006/relationships/hyperlink" Target="https://maps.google.com/?q=15.746144,-96.465183" TargetMode="External"/><Relationship Id="rId1301" Type="http://schemas.openxmlformats.org/officeDocument/2006/relationships/hyperlink" Target="https://maps.google.com/?q=18.208315886196,-96.968961419643" TargetMode="External"/><Relationship Id="rId3199" Type="http://schemas.openxmlformats.org/officeDocument/2006/relationships/hyperlink" Target="https://maps.google.com/?q=16.784769922442,-96.574591560149" TargetMode="External"/><Relationship Id="rId3059" Type="http://schemas.openxmlformats.org/officeDocument/2006/relationships/hyperlink" Target="https://maps.google.com/?q=17.4458,-96.62063" TargetMode="External"/><Relationship Id="rId3266" Type="http://schemas.openxmlformats.org/officeDocument/2006/relationships/hyperlink" Target="https://maps.google.com/?q=16.785431927022,-96.56267656535" TargetMode="External"/><Relationship Id="rId3473" Type="http://schemas.openxmlformats.org/officeDocument/2006/relationships/hyperlink" Target="https://maps.google.com/?q=16.789106925038,-96.554874575009" TargetMode="External"/><Relationship Id="rId187" Type="http://schemas.openxmlformats.org/officeDocument/2006/relationships/hyperlink" Target="https://maps.google.com/?q=17.277207280593,-97.670987542328" TargetMode="External"/><Relationship Id="rId394" Type="http://schemas.openxmlformats.org/officeDocument/2006/relationships/hyperlink" Target="https://maps.google.com/?q=17.51986155559,-97.74133257424" TargetMode="External"/><Relationship Id="rId2075" Type="http://schemas.openxmlformats.org/officeDocument/2006/relationships/hyperlink" Target="https://maps.google.com/?q=16.785593,-96.030602" TargetMode="External"/><Relationship Id="rId2282" Type="http://schemas.openxmlformats.org/officeDocument/2006/relationships/hyperlink" Target="https://maps.google.com/?q=17.35416252,-96.53605021" TargetMode="External"/><Relationship Id="rId3126" Type="http://schemas.openxmlformats.org/officeDocument/2006/relationships/hyperlink" Target="https://maps.google.com/?q=17.976828,-96.703229" TargetMode="External"/><Relationship Id="rId3680" Type="http://schemas.openxmlformats.org/officeDocument/2006/relationships/hyperlink" Target="https://maps.google.com/?q=16.2070521,-97.530509" TargetMode="External"/><Relationship Id="rId254" Type="http://schemas.openxmlformats.org/officeDocument/2006/relationships/hyperlink" Target="https://maps.google.com/?q=16.332014,-95.231966" TargetMode="External"/><Relationship Id="rId1091" Type="http://schemas.openxmlformats.org/officeDocument/2006/relationships/hyperlink" Target="https://maps.google.com/?q=17.055716,-96.692983" TargetMode="External"/><Relationship Id="rId3333" Type="http://schemas.openxmlformats.org/officeDocument/2006/relationships/hyperlink" Target="https://maps.google.com/?q=16.785869922153,-96.573490569088" TargetMode="External"/><Relationship Id="rId3540" Type="http://schemas.openxmlformats.org/officeDocument/2006/relationships/hyperlink" Target="https://maps.google.com/?q=16.791001925131,-96.554102573284" TargetMode="External"/><Relationship Id="rId114" Type="http://schemas.openxmlformats.org/officeDocument/2006/relationships/hyperlink" Target="https://maps.google.com/?q=17.784752411889,-96.795815234133" TargetMode="External"/><Relationship Id="rId461" Type="http://schemas.openxmlformats.org/officeDocument/2006/relationships/hyperlink" Target="https://maps.google.com/?q=17.48183446934,-97.708250565641" TargetMode="External"/><Relationship Id="rId2142" Type="http://schemas.openxmlformats.org/officeDocument/2006/relationships/hyperlink" Target="https://maps.google.com/?q=16.878196492197,-97.504898635701" TargetMode="External"/><Relationship Id="rId3400" Type="http://schemas.openxmlformats.org/officeDocument/2006/relationships/hyperlink" Target="https://maps.google.com/?q=16.78620599,-96.57894155" TargetMode="External"/><Relationship Id="rId321" Type="http://schemas.openxmlformats.org/officeDocument/2006/relationships/hyperlink" Target="https://maps.google.com/?q=17.010039665091,-97.701171233036" TargetMode="External"/><Relationship Id="rId2002" Type="http://schemas.openxmlformats.org/officeDocument/2006/relationships/hyperlink" Target="https://maps.google.com/?q=16.782756,-96.034965" TargetMode="External"/><Relationship Id="rId2959" Type="http://schemas.openxmlformats.org/officeDocument/2006/relationships/hyperlink" Target="https://maps.google.com/?q=17.650381504517,-96.917276427855" TargetMode="External"/><Relationship Id="rId1768" Type="http://schemas.openxmlformats.org/officeDocument/2006/relationships/hyperlink" Target="https://maps.google.com/?q=17.0264542114,-96.712777051" TargetMode="External"/><Relationship Id="rId2819" Type="http://schemas.openxmlformats.org/officeDocument/2006/relationships/hyperlink" Target="https://maps.google.com/?q=17.279890222859,-97.369433532113" TargetMode="External"/><Relationship Id="rId1628" Type="http://schemas.openxmlformats.org/officeDocument/2006/relationships/hyperlink" Target="https://maps.google.com/?q=18.118850580933,-96.489511703041" TargetMode="External"/><Relationship Id="rId1975" Type="http://schemas.openxmlformats.org/officeDocument/2006/relationships/hyperlink" Target="https://maps.google.com/?q=16.781477,-96.032357" TargetMode="External"/><Relationship Id="rId3190" Type="http://schemas.openxmlformats.org/officeDocument/2006/relationships/hyperlink" Target="https://maps.google.com/?q=16.78467196,-96.5865892" TargetMode="External"/><Relationship Id="rId1835" Type="http://schemas.openxmlformats.org/officeDocument/2006/relationships/hyperlink" Target="https://maps.google.com/?q=17.931592360686,-97.675765790424" TargetMode="External"/><Relationship Id="rId3050" Type="http://schemas.openxmlformats.org/officeDocument/2006/relationships/hyperlink" Target="https://maps.google.com/?q=17.304892,-96.914344" TargetMode="External"/><Relationship Id="rId1902" Type="http://schemas.openxmlformats.org/officeDocument/2006/relationships/hyperlink" Target="https://maps.google.com/?q=16.778802,-96.036646" TargetMode="External"/><Relationship Id="rId3867" Type="http://schemas.openxmlformats.org/officeDocument/2006/relationships/hyperlink" Target="https://maps.google.com/?q=17.034506324746,-96.728238146454" TargetMode="External"/><Relationship Id="rId788" Type="http://schemas.openxmlformats.org/officeDocument/2006/relationships/hyperlink" Target="https://maps.google.com/?q=17.081902762504,-96.699818609029" TargetMode="External"/><Relationship Id="rId995" Type="http://schemas.openxmlformats.org/officeDocument/2006/relationships/hyperlink" Target="https://maps.google.com/?q=17.463756,-97.344037" TargetMode="External"/><Relationship Id="rId2469" Type="http://schemas.openxmlformats.org/officeDocument/2006/relationships/hyperlink" Target="https://maps.google.com/?q=16.255172,-96.324222" TargetMode="External"/><Relationship Id="rId2676" Type="http://schemas.openxmlformats.org/officeDocument/2006/relationships/hyperlink" Target="https://maps.google.com/?q=17.063105260426,-96.714279075533" TargetMode="External"/><Relationship Id="rId2883" Type="http://schemas.openxmlformats.org/officeDocument/2006/relationships/hyperlink" Target="https://maps.google.com/?q=17.056803863663,-96.81908442" TargetMode="External"/><Relationship Id="rId3727" Type="http://schemas.openxmlformats.org/officeDocument/2006/relationships/hyperlink" Target="https://maps.google.com/?q=16.2080631,-97.5304731" TargetMode="External"/><Relationship Id="rId3934" Type="http://schemas.openxmlformats.org/officeDocument/2006/relationships/hyperlink" Target="https://maps.google.com/?q=16.8711914,-94.72642841" TargetMode="External"/><Relationship Id="rId648" Type="http://schemas.openxmlformats.org/officeDocument/2006/relationships/hyperlink" Target="https://maps.google.com/?q=17.049775338459,-96.716714971621" TargetMode="External"/><Relationship Id="rId855" Type="http://schemas.openxmlformats.org/officeDocument/2006/relationships/hyperlink" Target="https://maps.google.com/?q=17.086594634609,-96.693929950227" TargetMode="External"/><Relationship Id="rId1278" Type="http://schemas.openxmlformats.org/officeDocument/2006/relationships/hyperlink" Target="https://maps.google.com/?q=16.009469338269,-96.224969545963" TargetMode="External"/><Relationship Id="rId1485" Type="http://schemas.openxmlformats.org/officeDocument/2006/relationships/hyperlink" Target="https://maps.google.com/?q=17.063666,-96.729577" TargetMode="External"/><Relationship Id="rId1692" Type="http://schemas.openxmlformats.org/officeDocument/2006/relationships/hyperlink" Target="https://maps.google.com/?q=16.524359,-96.978764" TargetMode="External"/><Relationship Id="rId2329" Type="http://schemas.openxmlformats.org/officeDocument/2006/relationships/hyperlink" Target="https://maps.google.com/?q=17.37385515,-96.50711656" TargetMode="External"/><Relationship Id="rId2536" Type="http://schemas.openxmlformats.org/officeDocument/2006/relationships/hyperlink" Target="https://maps.google.com/?q=16.272482,-96.308561" TargetMode="External"/><Relationship Id="rId2743" Type="http://schemas.openxmlformats.org/officeDocument/2006/relationships/hyperlink" Target="https://maps.google.com/?q=16.860939,-96.816859" TargetMode="External"/><Relationship Id="rId508" Type="http://schemas.openxmlformats.org/officeDocument/2006/relationships/hyperlink" Target="https://maps.google.com/?q=17.53199072789,-97.794361851521" TargetMode="External"/><Relationship Id="rId715" Type="http://schemas.openxmlformats.org/officeDocument/2006/relationships/hyperlink" Target="https://maps.google.com/?q=17.057246767669,-96.725560683901" TargetMode="External"/><Relationship Id="rId922" Type="http://schemas.openxmlformats.org/officeDocument/2006/relationships/hyperlink" Target="https://maps.google.com/?q=17.530254,-96.809792" TargetMode="External"/><Relationship Id="rId1138" Type="http://schemas.openxmlformats.org/officeDocument/2006/relationships/hyperlink" Target="https://maps.google.com/?q=15.910283158919,-96.528160606152" TargetMode="External"/><Relationship Id="rId1345" Type="http://schemas.openxmlformats.org/officeDocument/2006/relationships/hyperlink" Target="https://maps.google.com/?q=17.426290137347,-98.152815550926" TargetMode="External"/><Relationship Id="rId1552" Type="http://schemas.openxmlformats.org/officeDocument/2006/relationships/hyperlink" Target="https://maps.google.com/?q=17.430065,-97.30795" TargetMode="External"/><Relationship Id="rId2603" Type="http://schemas.openxmlformats.org/officeDocument/2006/relationships/hyperlink" Target="https://maps.google.com/?q=17.0917258204,-96.737917225" TargetMode="External"/><Relationship Id="rId2950" Type="http://schemas.openxmlformats.org/officeDocument/2006/relationships/hyperlink" Target="https://maps.google.com/?q=17.712461108436,-96.936594670085" TargetMode="External"/><Relationship Id="rId1205" Type="http://schemas.openxmlformats.org/officeDocument/2006/relationships/hyperlink" Target="https://maps.google.com/?q=17.355780518157,-95.418415191645" TargetMode="External"/><Relationship Id="rId2810" Type="http://schemas.openxmlformats.org/officeDocument/2006/relationships/hyperlink" Target="https://maps.google.com/?q=17.801848,-96.817129" TargetMode="External"/><Relationship Id="rId51" Type="http://schemas.openxmlformats.org/officeDocument/2006/relationships/hyperlink" Target="https://maps.google.com/?q=16.506389,-95.059" TargetMode="External"/><Relationship Id="rId1412" Type="http://schemas.openxmlformats.org/officeDocument/2006/relationships/hyperlink" Target="https://maps.google.com/?q=16.237076,-97.292352" TargetMode="External"/><Relationship Id="rId3377" Type="http://schemas.openxmlformats.org/officeDocument/2006/relationships/hyperlink" Target="https://maps.google.com/?q=16.786035927039,-96.557693574027" TargetMode="External"/><Relationship Id="rId298" Type="http://schemas.openxmlformats.org/officeDocument/2006/relationships/hyperlink" Target="https://maps.google.com/?q=16.522157,-94.700275" TargetMode="External"/><Relationship Id="rId3584" Type="http://schemas.openxmlformats.org/officeDocument/2006/relationships/hyperlink" Target="https://maps.google.com/?q=16.2049166,-97.5214757" TargetMode="External"/><Relationship Id="rId3791" Type="http://schemas.openxmlformats.org/officeDocument/2006/relationships/hyperlink" Target="https://maps.google.com/?q=16.2093661,-97.529884" TargetMode="External"/><Relationship Id="rId158" Type="http://schemas.openxmlformats.org/officeDocument/2006/relationships/hyperlink" Target="https://maps.google.com/?q=17.270984,-97.674515" TargetMode="External"/><Relationship Id="rId2186" Type="http://schemas.openxmlformats.org/officeDocument/2006/relationships/hyperlink" Target="https://maps.google.com/?q=17.05164817,-96.6395094" TargetMode="External"/><Relationship Id="rId2393" Type="http://schemas.openxmlformats.org/officeDocument/2006/relationships/hyperlink" Target="https://maps.google.com/?q=16.248858,-96.339904" TargetMode="External"/><Relationship Id="rId3237" Type="http://schemas.openxmlformats.org/officeDocument/2006/relationships/hyperlink" Target="https://maps.google.com/?q=16.785232920346,-96.576221565988" TargetMode="External"/><Relationship Id="rId3444" Type="http://schemas.openxmlformats.org/officeDocument/2006/relationships/hyperlink" Target="https://maps.google.com/?q=16.788093925096,-96.555647572764" TargetMode="External"/><Relationship Id="rId3651" Type="http://schemas.openxmlformats.org/officeDocument/2006/relationships/hyperlink" Target="https://maps.google.com/?q=16.2061461,-97.529995" TargetMode="External"/><Relationship Id="rId365" Type="http://schemas.openxmlformats.org/officeDocument/2006/relationships/hyperlink" Target="https://maps.google.com/?q=17.041149,-96.727935" TargetMode="External"/><Relationship Id="rId572" Type="http://schemas.openxmlformats.org/officeDocument/2006/relationships/hyperlink" Target="https://maps.google.com/?q=17.042690210495,-96.707495444434" TargetMode="External"/><Relationship Id="rId2046" Type="http://schemas.openxmlformats.org/officeDocument/2006/relationships/hyperlink" Target="https://maps.google.com/?q=16.78394,-96.031068" TargetMode="External"/><Relationship Id="rId2253" Type="http://schemas.openxmlformats.org/officeDocument/2006/relationships/hyperlink" Target="https://maps.google.com/?q=17.35038727,-96.53533884" TargetMode="External"/><Relationship Id="rId2460" Type="http://schemas.openxmlformats.org/officeDocument/2006/relationships/hyperlink" Target="https://maps.google.com/?q=16.254594,-96.326864" TargetMode="External"/><Relationship Id="rId3304" Type="http://schemas.openxmlformats.org/officeDocument/2006/relationships/hyperlink" Target="https://maps.google.com/?q=16.785701925213,-96.562125571345" TargetMode="External"/><Relationship Id="rId3511" Type="http://schemas.openxmlformats.org/officeDocument/2006/relationships/hyperlink" Target="https://maps.google.com/?q=16.790490927667,-96.553611577285" TargetMode="External"/><Relationship Id="rId225" Type="http://schemas.openxmlformats.org/officeDocument/2006/relationships/hyperlink" Target="https://maps.google.com/?q=15.909775986415,-96.214415200044" TargetMode="External"/><Relationship Id="rId432" Type="http://schemas.openxmlformats.org/officeDocument/2006/relationships/hyperlink" Target="https://maps.google.com/?q=17.506575564777,-97.708568502209" TargetMode="External"/><Relationship Id="rId1062" Type="http://schemas.openxmlformats.org/officeDocument/2006/relationships/hyperlink" Target="https://maps.google.com/?q=17.075161,-96.73904" TargetMode="External"/><Relationship Id="rId2113" Type="http://schemas.openxmlformats.org/officeDocument/2006/relationships/hyperlink" Target="https://maps.google.com/?q=16.873759455649,-97.502446332132" TargetMode="External"/><Relationship Id="rId2320" Type="http://schemas.openxmlformats.org/officeDocument/2006/relationships/hyperlink" Target="https://maps.google.com/?q=17.37038787,-96.50792539" TargetMode="External"/><Relationship Id="rId1879" Type="http://schemas.openxmlformats.org/officeDocument/2006/relationships/hyperlink" Target="https://maps.google.com/?q=16.071459784737,-96.302005052016" TargetMode="External"/><Relationship Id="rId3094" Type="http://schemas.openxmlformats.org/officeDocument/2006/relationships/hyperlink" Target="https://maps.google.com/?q=17.970397,-96.688079" TargetMode="External"/><Relationship Id="rId1739" Type="http://schemas.openxmlformats.org/officeDocument/2006/relationships/hyperlink" Target="https://maps.google.com/?q=16.800318,-96.464143" TargetMode="External"/><Relationship Id="rId1946" Type="http://schemas.openxmlformats.org/officeDocument/2006/relationships/hyperlink" Target="https://maps.google.com/?q=16.780507,-96.033706" TargetMode="External"/><Relationship Id="rId4005" Type="http://schemas.openxmlformats.org/officeDocument/2006/relationships/hyperlink" Target="https://maps.google.com/?q=16.90201308,-94.69081544" TargetMode="External"/><Relationship Id="rId1806" Type="http://schemas.openxmlformats.org/officeDocument/2006/relationships/hyperlink" Target="https://maps.google.com/?q=17.988027,-96.840574" TargetMode="External"/><Relationship Id="rId3161" Type="http://schemas.openxmlformats.org/officeDocument/2006/relationships/hyperlink" Target="https://maps.google.com/?q=16.783443925252,-96.568169561942" TargetMode="External"/><Relationship Id="rId3021" Type="http://schemas.openxmlformats.org/officeDocument/2006/relationships/hyperlink" Target="https://maps.google.com/?q=16.299608,-96.77064" TargetMode="External"/><Relationship Id="rId3978" Type="http://schemas.openxmlformats.org/officeDocument/2006/relationships/hyperlink" Target="https://maps.google.com/?q=16.89568133,-94.69812706" TargetMode="External"/><Relationship Id="rId899" Type="http://schemas.openxmlformats.org/officeDocument/2006/relationships/hyperlink" Target="https://maps.google.com/?q=16.454276,-96.690342" TargetMode="External"/><Relationship Id="rId2787" Type="http://schemas.openxmlformats.org/officeDocument/2006/relationships/hyperlink" Target="https://maps.google.com/?q=17.788931,-96.814825" TargetMode="External"/><Relationship Id="rId3838" Type="http://schemas.openxmlformats.org/officeDocument/2006/relationships/hyperlink" Target="https://maps.google.com/?q=16.193699,-97.926183" TargetMode="External"/><Relationship Id="rId759" Type="http://schemas.openxmlformats.org/officeDocument/2006/relationships/hyperlink" Target="https://maps.google.com/?q=17.067003797366,-96.723551845243" TargetMode="External"/><Relationship Id="rId966" Type="http://schemas.openxmlformats.org/officeDocument/2006/relationships/hyperlink" Target="https://maps.google.com/?q=16.322073345493,-96.672653990757" TargetMode="External"/><Relationship Id="rId1389" Type="http://schemas.openxmlformats.org/officeDocument/2006/relationships/hyperlink" Target="https://maps.google.com/?q=17.051589,-96.7311605" TargetMode="External"/><Relationship Id="rId1596" Type="http://schemas.openxmlformats.org/officeDocument/2006/relationships/hyperlink" Target="https://maps.google.com/?q=17.02847549,-96.711192" TargetMode="External"/><Relationship Id="rId2647" Type="http://schemas.openxmlformats.org/officeDocument/2006/relationships/hyperlink" Target="https://maps.google.com/?q=17.378017,-97.268737" TargetMode="External"/><Relationship Id="rId2994" Type="http://schemas.openxmlformats.org/officeDocument/2006/relationships/hyperlink" Target="https://maps.google.com/?q=15.95862108599,-96.769944519569" TargetMode="External"/><Relationship Id="rId619" Type="http://schemas.openxmlformats.org/officeDocument/2006/relationships/hyperlink" Target="https://maps.google.com/?q=17.047713212223,-96.723366619654" TargetMode="External"/><Relationship Id="rId1249" Type="http://schemas.openxmlformats.org/officeDocument/2006/relationships/hyperlink" Target="https://maps.google.com/?q=17.802895473394,-97.786759144844" TargetMode="External"/><Relationship Id="rId2854" Type="http://schemas.openxmlformats.org/officeDocument/2006/relationships/hyperlink" Target="https://maps.google.com/?q=17.288136934173,-97.377354095332" TargetMode="External"/><Relationship Id="rId3905" Type="http://schemas.openxmlformats.org/officeDocument/2006/relationships/hyperlink" Target="https://maps.google.com/?q=16.86341338,-94.73366816" TargetMode="External"/><Relationship Id="rId95" Type="http://schemas.openxmlformats.org/officeDocument/2006/relationships/hyperlink" Target="https://maps.google.com/?q=18.53822289985,-96.60735006733" TargetMode="External"/><Relationship Id="rId826" Type="http://schemas.openxmlformats.org/officeDocument/2006/relationships/hyperlink" Target="https://maps.google.com/?q=17.084323935234,-96.699002791488" TargetMode="External"/><Relationship Id="rId1109" Type="http://schemas.openxmlformats.org/officeDocument/2006/relationships/hyperlink" Target="https://maps.google.com/?q=17.078447594108,-96.711226860439" TargetMode="External"/><Relationship Id="rId1456" Type="http://schemas.openxmlformats.org/officeDocument/2006/relationships/hyperlink" Target="https://maps.google.com/?q=16.332014,-95.231966" TargetMode="External"/><Relationship Id="rId1663" Type="http://schemas.openxmlformats.org/officeDocument/2006/relationships/hyperlink" Target="https://maps.google.com/?q=16.518612,-96.976875" TargetMode="External"/><Relationship Id="rId1870" Type="http://schemas.openxmlformats.org/officeDocument/2006/relationships/hyperlink" Target="https://maps.google.com/?q=16.071081136624,-96.303214519417" TargetMode="External"/><Relationship Id="rId2507" Type="http://schemas.openxmlformats.org/officeDocument/2006/relationships/hyperlink" Target="https://maps.google.com/?q=16.265996,-96.309099" TargetMode="External"/><Relationship Id="rId2714" Type="http://schemas.openxmlformats.org/officeDocument/2006/relationships/hyperlink" Target="https://maps.google.com/?q=17.083595324755,-96.715121500833" TargetMode="External"/><Relationship Id="rId2921" Type="http://schemas.openxmlformats.org/officeDocument/2006/relationships/hyperlink" Target="https://maps.google.com/?q=15.722982820181,-96.166347103925" TargetMode="External"/><Relationship Id="rId1316" Type="http://schemas.openxmlformats.org/officeDocument/2006/relationships/hyperlink" Target="https://maps.google.com/?q=16.320845870622,-94.757181984131" TargetMode="External"/><Relationship Id="rId1523" Type="http://schemas.openxmlformats.org/officeDocument/2006/relationships/hyperlink" Target="https://maps.google.com/?q=17.267449,-97.680485" TargetMode="External"/><Relationship Id="rId1730" Type="http://schemas.openxmlformats.org/officeDocument/2006/relationships/hyperlink" Target="https://maps.google.com/?q=16.797095,-96.460623" TargetMode="External"/><Relationship Id="rId22" Type="http://schemas.openxmlformats.org/officeDocument/2006/relationships/hyperlink" Target="https://maps.google.com/?q=16.866371,-96.785623" TargetMode="External"/><Relationship Id="rId3488" Type="http://schemas.openxmlformats.org/officeDocument/2006/relationships/hyperlink" Target="https://maps.google.com/?q=16.789618924562,-96.551542572681" TargetMode="External"/><Relationship Id="rId3695" Type="http://schemas.openxmlformats.org/officeDocument/2006/relationships/hyperlink" Target="https://maps.google.com/?q=16.2072691,-97.532786" TargetMode="External"/><Relationship Id="rId2297" Type="http://schemas.openxmlformats.org/officeDocument/2006/relationships/hyperlink" Target="https://maps.google.com/?q=17.35545796,-96.53489484" TargetMode="External"/><Relationship Id="rId3348" Type="http://schemas.openxmlformats.org/officeDocument/2006/relationships/hyperlink" Target="https://maps.google.com/?q=16.785923928211,-96.56104456518" TargetMode="External"/><Relationship Id="rId3555" Type="http://schemas.openxmlformats.org/officeDocument/2006/relationships/hyperlink" Target="https://maps.google.com/?q=16.792054923817,-96.551830572391" TargetMode="External"/><Relationship Id="rId3762" Type="http://schemas.openxmlformats.org/officeDocument/2006/relationships/hyperlink" Target="https://maps.google.com/?q=16.2086621,-97.530178" TargetMode="External"/><Relationship Id="rId269" Type="http://schemas.openxmlformats.org/officeDocument/2006/relationships/hyperlink" Target="https://maps.google.com/?q=17.335316,-98.012051" TargetMode="External"/><Relationship Id="rId476" Type="http://schemas.openxmlformats.org/officeDocument/2006/relationships/hyperlink" Target="https://maps.google.com/?q=17.495921953671,-97.715858290581" TargetMode="External"/><Relationship Id="rId683" Type="http://schemas.openxmlformats.org/officeDocument/2006/relationships/hyperlink" Target="https://maps.google.com/?q=17.0514746,-96.7068651" TargetMode="External"/><Relationship Id="rId890" Type="http://schemas.openxmlformats.org/officeDocument/2006/relationships/hyperlink" Target="https://maps.google.com/?q=17.12353013974,-96.759534334896" TargetMode="External"/><Relationship Id="rId2157" Type="http://schemas.openxmlformats.org/officeDocument/2006/relationships/hyperlink" Target="https://maps.google.com/?q=17.04944585,-96.63689204" TargetMode="External"/><Relationship Id="rId2364" Type="http://schemas.openxmlformats.org/officeDocument/2006/relationships/hyperlink" Target="https://maps.google.com/?q=17.38054743,-96.50057308" TargetMode="External"/><Relationship Id="rId2571" Type="http://schemas.openxmlformats.org/officeDocument/2006/relationships/hyperlink" Target="https://maps.google.com/?q=17.08921880532,-96.7373354413" TargetMode="External"/><Relationship Id="rId3208" Type="http://schemas.openxmlformats.org/officeDocument/2006/relationships/hyperlink" Target="https://maps.google.com/?q=16.784890924879,-96.574429564691" TargetMode="External"/><Relationship Id="rId3415" Type="http://schemas.openxmlformats.org/officeDocument/2006/relationships/hyperlink" Target="https://maps.google.com/?q=16.786485922506,-96.560248568508" TargetMode="External"/><Relationship Id="rId129" Type="http://schemas.openxmlformats.org/officeDocument/2006/relationships/hyperlink" Target="https://maps.google.com/?q=17.273475,-97.672588" TargetMode="External"/><Relationship Id="rId336" Type="http://schemas.openxmlformats.org/officeDocument/2006/relationships/hyperlink" Target="https://maps.google.com/?q=16.978273745737,-97.641033607325" TargetMode="External"/><Relationship Id="rId543" Type="http://schemas.openxmlformats.org/officeDocument/2006/relationships/hyperlink" Target="https://maps.google.com/?q=17.071544120503,-96.715912270785" TargetMode="External"/><Relationship Id="rId1173" Type="http://schemas.openxmlformats.org/officeDocument/2006/relationships/hyperlink" Target="https://maps.google.com/?q=17.889498828709,-96.126842293324" TargetMode="External"/><Relationship Id="rId1380" Type="http://schemas.openxmlformats.org/officeDocument/2006/relationships/hyperlink" Target="https://maps.google.com/?q=16.94966208439,-97.984430588955" TargetMode="External"/><Relationship Id="rId2017" Type="http://schemas.openxmlformats.org/officeDocument/2006/relationships/hyperlink" Target="https://maps.google.com/?q=16.783144,-96.032378" TargetMode="External"/><Relationship Id="rId2224" Type="http://schemas.openxmlformats.org/officeDocument/2006/relationships/hyperlink" Target="https://maps.google.com/?q=16.645190551416,-96.577576765936" TargetMode="External"/><Relationship Id="rId3622" Type="http://schemas.openxmlformats.org/officeDocument/2006/relationships/hyperlink" Target="https://maps.google.com/?q=16.2054661,-97.527909" TargetMode="External"/><Relationship Id="rId403" Type="http://schemas.openxmlformats.org/officeDocument/2006/relationships/hyperlink" Target="https://maps.google.com/?q=17.52357583437,-97.737482617554" TargetMode="External"/><Relationship Id="rId750" Type="http://schemas.openxmlformats.org/officeDocument/2006/relationships/hyperlink" Target="https://maps.google.com/?q=17.062993599794,-96.735093960619" TargetMode="External"/><Relationship Id="rId1033" Type="http://schemas.openxmlformats.org/officeDocument/2006/relationships/hyperlink" Target="https://maps.google.com/?q=16.332014,-95.231966" TargetMode="External"/><Relationship Id="rId2431" Type="http://schemas.openxmlformats.org/officeDocument/2006/relationships/hyperlink" Target="https://maps.google.com/?q=16.252168,-96.332958" TargetMode="External"/><Relationship Id="rId610" Type="http://schemas.openxmlformats.org/officeDocument/2006/relationships/hyperlink" Target="https://maps.google.com/?q=17.046935880598,-96.727857580551" TargetMode="External"/><Relationship Id="rId1240" Type="http://schemas.openxmlformats.org/officeDocument/2006/relationships/hyperlink" Target="https://maps.google.com/?q=16.369346271496,-94.96055941468" TargetMode="External"/><Relationship Id="rId1100" Type="http://schemas.openxmlformats.org/officeDocument/2006/relationships/hyperlink" Target="https://maps.google.com/?q=17.071544120503,-96.715912270785" TargetMode="External"/><Relationship Id="rId1917" Type="http://schemas.openxmlformats.org/officeDocument/2006/relationships/hyperlink" Target="https://maps.google.com/?q=16.779216,-96.033848" TargetMode="External"/><Relationship Id="rId3065" Type="http://schemas.openxmlformats.org/officeDocument/2006/relationships/hyperlink" Target="https://maps.google.com/?q=17.046494,-95.86677" TargetMode="External"/><Relationship Id="rId3272" Type="http://schemas.openxmlformats.org/officeDocument/2006/relationships/hyperlink" Target="https://maps.google.com/?q=16.785485927828,-96.563968564027" TargetMode="External"/><Relationship Id="rId193" Type="http://schemas.openxmlformats.org/officeDocument/2006/relationships/hyperlink" Target="https://maps.google.com/?q=17.277874,-97.670919" TargetMode="External"/><Relationship Id="rId2081" Type="http://schemas.openxmlformats.org/officeDocument/2006/relationships/hyperlink" Target="https://maps.google.com/?q=16.786229,-96.030724" TargetMode="External"/><Relationship Id="rId3132" Type="http://schemas.openxmlformats.org/officeDocument/2006/relationships/hyperlink" Target="https://maps.google.com/?q=17.977404,-96.704638" TargetMode="External"/><Relationship Id="rId260" Type="http://schemas.openxmlformats.org/officeDocument/2006/relationships/hyperlink" Target="https://maps.google.com/?q=16.866371,-96.785623" TargetMode="External"/><Relationship Id="rId120" Type="http://schemas.openxmlformats.org/officeDocument/2006/relationships/hyperlink" Target="https://maps.google.com/?q=16.871191162013,-96.37583755061" TargetMode="External"/><Relationship Id="rId2898" Type="http://schemas.openxmlformats.org/officeDocument/2006/relationships/hyperlink" Target="https://maps.google.com/?q=17.275471,-96.4153" TargetMode="External"/><Relationship Id="rId3949" Type="http://schemas.openxmlformats.org/officeDocument/2006/relationships/hyperlink" Target="https://maps.google.com/?q=16.88182045,-94.71105807" TargetMode="External"/><Relationship Id="rId2758" Type="http://schemas.openxmlformats.org/officeDocument/2006/relationships/hyperlink" Target="https://maps.google.com/?q=17.785588,-96.803428" TargetMode="External"/><Relationship Id="rId2965" Type="http://schemas.openxmlformats.org/officeDocument/2006/relationships/hyperlink" Target="https://maps.google.com/?q=17.843749824435,-97.015204715315" TargetMode="External"/><Relationship Id="rId3809" Type="http://schemas.openxmlformats.org/officeDocument/2006/relationships/hyperlink" Target="https://maps.google.com/?q=16.2103971,-97.5280951" TargetMode="External"/><Relationship Id="rId937" Type="http://schemas.openxmlformats.org/officeDocument/2006/relationships/hyperlink" Target="https://maps.google.com/?q=17.30637944125,-96.205815750733" TargetMode="External"/><Relationship Id="rId1567" Type="http://schemas.openxmlformats.org/officeDocument/2006/relationships/hyperlink" Target="https://maps.google.com/?q=17.723217,-96.842266" TargetMode="External"/><Relationship Id="rId1774" Type="http://schemas.openxmlformats.org/officeDocument/2006/relationships/hyperlink" Target="https://maps.google.com/?q=17.02809202,-96.71133803" TargetMode="External"/><Relationship Id="rId1981" Type="http://schemas.openxmlformats.org/officeDocument/2006/relationships/hyperlink" Target="https://maps.google.com/?q=16.781582,-96.03203" TargetMode="External"/><Relationship Id="rId2618" Type="http://schemas.openxmlformats.org/officeDocument/2006/relationships/hyperlink" Target="https://maps.google.com/?q=16.716111,-96.662639" TargetMode="External"/><Relationship Id="rId2825" Type="http://schemas.openxmlformats.org/officeDocument/2006/relationships/hyperlink" Target="https://maps.google.com/?q=17.280843607666,-97.373504454852" TargetMode="External"/><Relationship Id="rId66" Type="http://schemas.openxmlformats.org/officeDocument/2006/relationships/hyperlink" Target="https://maps.google.com/?q=16.433225392918,-95.021686793379" TargetMode="External"/><Relationship Id="rId1427" Type="http://schemas.openxmlformats.org/officeDocument/2006/relationships/hyperlink" Target="https://maps.google.com/?q=17.207464,-96.801094" TargetMode="External"/><Relationship Id="rId1634" Type="http://schemas.openxmlformats.org/officeDocument/2006/relationships/hyperlink" Target="https://maps.google.com/?q=16.745252096804,-96.749895401343" TargetMode="External"/><Relationship Id="rId1841" Type="http://schemas.openxmlformats.org/officeDocument/2006/relationships/hyperlink" Target="https://maps.google.com/?q=16.145552686412,-96.351160289315" TargetMode="External"/><Relationship Id="rId3599" Type="http://schemas.openxmlformats.org/officeDocument/2006/relationships/hyperlink" Target="https://maps.google.com/?q=16.2053351,-97.522815" TargetMode="External"/><Relationship Id="rId1701" Type="http://schemas.openxmlformats.org/officeDocument/2006/relationships/hyperlink" Target="https://maps.google.com/?q=16.524811,-96.976802" TargetMode="External"/><Relationship Id="rId3459" Type="http://schemas.openxmlformats.org/officeDocument/2006/relationships/hyperlink" Target="https://maps.google.com/?q=16.788659929881,-96.55520256924" TargetMode="External"/><Relationship Id="rId3666" Type="http://schemas.openxmlformats.org/officeDocument/2006/relationships/hyperlink" Target="https://maps.google.com/?q=16.206756,-97.5300535" TargetMode="External"/><Relationship Id="rId587" Type="http://schemas.openxmlformats.org/officeDocument/2006/relationships/hyperlink" Target="https://maps.google.com/?q=17.044889307846,-96.718689447679" TargetMode="External"/><Relationship Id="rId2268" Type="http://schemas.openxmlformats.org/officeDocument/2006/relationships/hyperlink" Target="https://maps.google.com/?q=17.35230569,-96.52977352" TargetMode="External"/><Relationship Id="rId3319" Type="http://schemas.openxmlformats.org/officeDocument/2006/relationships/hyperlink" Target="https://maps.google.com/?q=16.785803921288,-96.564671569588" TargetMode="External"/><Relationship Id="rId3873" Type="http://schemas.openxmlformats.org/officeDocument/2006/relationships/hyperlink" Target="https://maps.google.com/?q=17.037415256489,-96.728426543661" TargetMode="External"/><Relationship Id="rId447" Type="http://schemas.openxmlformats.org/officeDocument/2006/relationships/hyperlink" Target="https://maps.google.com/?q=17.490384095326,-97.729694411045" TargetMode="External"/><Relationship Id="rId794" Type="http://schemas.openxmlformats.org/officeDocument/2006/relationships/hyperlink" Target="https://maps.google.com/?q=17.082509836692,-96.697966831273" TargetMode="External"/><Relationship Id="rId1077" Type="http://schemas.openxmlformats.org/officeDocument/2006/relationships/hyperlink" Target="https://maps.google.com/?q=17.101462,-96.751919" TargetMode="External"/><Relationship Id="rId2128" Type="http://schemas.openxmlformats.org/officeDocument/2006/relationships/hyperlink" Target="https://maps.google.com/?q=16.876121708903,-97.504173481537" TargetMode="External"/><Relationship Id="rId2475" Type="http://schemas.openxmlformats.org/officeDocument/2006/relationships/hyperlink" Target="https://maps.google.com/?q=16.256706,-96.320772" TargetMode="External"/><Relationship Id="rId2682" Type="http://schemas.openxmlformats.org/officeDocument/2006/relationships/hyperlink" Target="https://maps.google.com/?q=17.064112966285,-96.730415244967" TargetMode="External"/><Relationship Id="rId3526" Type="http://schemas.openxmlformats.org/officeDocument/2006/relationships/hyperlink" Target="https://maps.google.com/?q=16.790826928521,-96.554259575653" TargetMode="External"/><Relationship Id="rId3733" Type="http://schemas.openxmlformats.org/officeDocument/2006/relationships/hyperlink" Target="https://maps.google.com/?q=16.2081891,-97.532754" TargetMode="External"/><Relationship Id="rId3940" Type="http://schemas.openxmlformats.org/officeDocument/2006/relationships/hyperlink" Target="https://maps.google.com/?q=16.87279182,-94.72416245" TargetMode="External"/><Relationship Id="rId654" Type="http://schemas.openxmlformats.org/officeDocument/2006/relationships/hyperlink" Target="https://maps.google.com/?q=17.0502288,-96.7071703" TargetMode="External"/><Relationship Id="rId861" Type="http://schemas.openxmlformats.org/officeDocument/2006/relationships/hyperlink" Target="https://maps.google.com/?q=17.109653262195,-96.757555653782" TargetMode="External"/><Relationship Id="rId1284" Type="http://schemas.openxmlformats.org/officeDocument/2006/relationships/hyperlink" Target="https://maps.google.com/?q=17.226478666151,-96.778298131283" TargetMode="External"/><Relationship Id="rId1491" Type="http://schemas.openxmlformats.org/officeDocument/2006/relationships/hyperlink" Target="https://maps.google.com/?q=16.359865,-94.188156" TargetMode="External"/><Relationship Id="rId2335" Type="http://schemas.openxmlformats.org/officeDocument/2006/relationships/hyperlink" Target="https://maps.google.com/?q=17.37693811,-96.50735701" TargetMode="External"/><Relationship Id="rId2542" Type="http://schemas.openxmlformats.org/officeDocument/2006/relationships/hyperlink" Target="https://maps.google.com/?q=16.272646,-96.307517" TargetMode="External"/><Relationship Id="rId3800" Type="http://schemas.openxmlformats.org/officeDocument/2006/relationships/hyperlink" Target="https://maps.google.com/?q=16.2096351,-97.529875" TargetMode="External"/><Relationship Id="rId307" Type="http://schemas.openxmlformats.org/officeDocument/2006/relationships/hyperlink" Target="https://maps.google.com/?q=16.9402175,-96.7076235" TargetMode="External"/><Relationship Id="rId514" Type="http://schemas.openxmlformats.org/officeDocument/2006/relationships/hyperlink" Target="https://maps.google.com/?q=18.08162218812,-97.674507187491" TargetMode="External"/><Relationship Id="rId721" Type="http://schemas.openxmlformats.org/officeDocument/2006/relationships/hyperlink" Target="https://maps.google.com/?q=17.0578086,-96.7422806" TargetMode="External"/><Relationship Id="rId1144" Type="http://schemas.openxmlformats.org/officeDocument/2006/relationships/hyperlink" Target="https://maps.google.com/?q=16.376661779409,-95.258227661377" TargetMode="External"/><Relationship Id="rId1351" Type="http://schemas.openxmlformats.org/officeDocument/2006/relationships/hyperlink" Target="https://maps.google.com/?q=17.09490402327,-97.659351681055" TargetMode="External"/><Relationship Id="rId2402" Type="http://schemas.openxmlformats.org/officeDocument/2006/relationships/hyperlink" Target="https://maps.google.com/?q=16.249398,-96.342661" TargetMode="External"/><Relationship Id="rId1004" Type="http://schemas.openxmlformats.org/officeDocument/2006/relationships/hyperlink" Target="https://maps.google.com/?q=17.465438,-97.349577" TargetMode="External"/><Relationship Id="rId1211" Type="http://schemas.openxmlformats.org/officeDocument/2006/relationships/hyperlink" Target="https://maps.google.com/?q=17.021136,-96.698462" TargetMode="External"/><Relationship Id="rId3176" Type="http://schemas.openxmlformats.org/officeDocument/2006/relationships/hyperlink" Target="https://maps.google.com/?q=16.783999919874,-96.566528568123" TargetMode="External"/><Relationship Id="rId3383" Type="http://schemas.openxmlformats.org/officeDocument/2006/relationships/hyperlink" Target="https://maps.google.com/?q=16.786065925907,-96.570955567741" TargetMode="External"/><Relationship Id="rId3590" Type="http://schemas.openxmlformats.org/officeDocument/2006/relationships/hyperlink" Target="https://maps.google.com/?q=16.2050801,-97.529116" TargetMode="External"/><Relationship Id="rId2192" Type="http://schemas.openxmlformats.org/officeDocument/2006/relationships/hyperlink" Target="https://maps.google.com/?q=16.635541420192,-96.546100214915" TargetMode="External"/><Relationship Id="rId3036" Type="http://schemas.openxmlformats.org/officeDocument/2006/relationships/hyperlink" Target="https://maps.google.com/?q=15.829314305655,-96.319914903124" TargetMode="External"/><Relationship Id="rId3243" Type="http://schemas.openxmlformats.org/officeDocument/2006/relationships/hyperlink" Target="https://maps.google.com/?q=16.785282917423,-96.574166559819" TargetMode="External"/><Relationship Id="rId164" Type="http://schemas.openxmlformats.org/officeDocument/2006/relationships/hyperlink" Target="https://maps.google.com/?q=17.271442,-97.672583" TargetMode="External"/><Relationship Id="rId371" Type="http://schemas.openxmlformats.org/officeDocument/2006/relationships/hyperlink" Target="https://maps.google.com/?q=17.041258,-96.727952" TargetMode="External"/><Relationship Id="rId2052" Type="http://schemas.openxmlformats.org/officeDocument/2006/relationships/hyperlink" Target="https://maps.google.com/?q=16.784183,-96.031482" TargetMode="External"/><Relationship Id="rId3450" Type="http://schemas.openxmlformats.org/officeDocument/2006/relationships/hyperlink" Target="https://maps.google.com/?q=16.788605927301,-96.55295257147" TargetMode="External"/><Relationship Id="rId3103" Type="http://schemas.openxmlformats.org/officeDocument/2006/relationships/hyperlink" Target="https://maps.google.com/?q=17.974536,-96.704241" TargetMode="External"/><Relationship Id="rId3310" Type="http://schemas.openxmlformats.org/officeDocument/2006/relationships/hyperlink" Target="https://maps.google.com/?q=16.78575691975,-96.573844562084" TargetMode="External"/><Relationship Id="rId231" Type="http://schemas.openxmlformats.org/officeDocument/2006/relationships/hyperlink" Target="https://maps.google.com/?q=15.911036138139,-96.211289956274" TargetMode="External"/><Relationship Id="rId2869" Type="http://schemas.openxmlformats.org/officeDocument/2006/relationships/hyperlink" Target="https://maps.google.com/?q=17.055667891169,-96.828617317554" TargetMode="External"/><Relationship Id="rId1678" Type="http://schemas.openxmlformats.org/officeDocument/2006/relationships/hyperlink" Target="https://maps.google.com/?q=16.522307,-96.978432" TargetMode="External"/><Relationship Id="rId1885" Type="http://schemas.openxmlformats.org/officeDocument/2006/relationships/hyperlink" Target="https://maps.google.com/?q=16.777964,-96.032229" TargetMode="External"/><Relationship Id="rId2729" Type="http://schemas.openxmlformats.org/officeDocument/2006/relationships/hyperlink" Target="https://maps.google.com/?q=17.063239342002,-96.706125204219" TargetMode="External"/><Relationship Id="rId2936" Type="http://schemas.openxmlformats.org/officeDocument/2006/relationships/hyperlink" Target="https://maps.google.com/?q=17.080066,-96.741592" TargetMode="External"/><Relationship Id="rId908" Type="http://schemas.openxmlformats.org/officeDocument/2006/relationships/hyperlink" Target="https://maps.google.com/?q=17.912009,-96.346895" TargetMode="External"/><Relationship Id="rId1538" Type="http://schemas.openxmlformats.org/officeDocument/2006/relationships/hyperlink" Target="https://maps.google.com/?q=17.02897,-95.921655" TargetMode="External"/><Relationship Id="rId1745" Type="http://schemas.openxmlformats.org/officeDocument/2006/relationships/hyperlink" Target="https://maps.google.com/?q=16.801219,-96.454529" TargetMode="External"/><Relationship Id="rId1952" Type="http://schemas.openxmlformats.org/officeDocument/2006/relationships/hyperlink" Target="https://maps.google.com/?q=16.78067,-96.034188" TargetMode="External"/><Relationship Id="rId4011" Type="http://schemas.openxmlformats.org/officeDocument/2006/relationships/drawing" Target="../drawings/drawing2.xml"/><Relationship Id="rId37" Type="http://schemas.openxmlformats.org/officeDocument/2006/relationships/hyperlink" Target="https://maps.google.com/?q=17.724615,-97.323898" TargetMode="External"/><Relationship Id="rId1605" Type="http://schemas.openxmlformats.org/officeDocument/2006/relationships/hyperlink" Target="https://maps.google.com/?q=17.0685477,-96.720284" TargetMode="External"/><Relationship Id="rId1812" Type="http://schemas.openxmlformats.org/officeDocument/2006/relationships/hyperlink" Target="https://maps.google.com/?q=17.06124358875,-96.71175179512" TargetMode="External"/><Relationship Id="rId3777" Type="http://schemas.openxmlformats.org/officeDocument/2006/relationships/hyperlink" Target="https://maps.google.com/?q=16.2089661,-97.529151" TargetMode="External"/><Relationship Id="rId3984" Type="http://schemas.openxmlformats.org/officeDocument/2006/relationships/hyperlink" Target="https://maps.google.com/?q=16.89819836,-94.69535251" TargetMode="External"/><Relationship Id="rId698" Type="http://schemas.openxmlformats.org/officeDocument/2006/relationships/hyperlink" Target="https://maps.google.com/?q=17.0527258,-96.7155256" TargetMode="External"/><Relationship Id="rId2379" Type="http://schemas.openxmlformats.org/officeDocument/2006/relationships/hyperlink" Target="https://maps.google.com/?q=16.232317,-96.340418" TargetMode="External"/><Relationship Id="rId2586" Type="http://schemas.openxmlformats.org/officeDocument/2006/relationships/hyperlink" Target="https://maps.google.com/?q=17.090477444808,-96.736610843635" TargetMode="External"/><Relationship Id="rId2793" Type="http://schemas.openxmlformats.org/officeDocument/2006/relationships/hyperlink" Target="https://maps.google.com/?q=17.79032,-96.816194" TargetMode="External"/><Relationship Id="rId3637" Type="http://schemas.openxmlformats.org/officeDocument/2006/relationships/hyperlink" Target="https://maps.google.com/?q=16.2057261,-97.5283261" TargetMode="External"/><Relationship Id="rId3844" Type="http://schemas.openxmlformats.org/officeDocument/2006/relationships/hyperlink" Target="https://maps.google.com/?q=16.642027826155,-97.481847964447" TargetMode="External"/><Relationship Id="rId558" Type="http://schemas.openxmlformats.org/officeDocument/2006/relationships/hyperlink" Target="https://maps.google.com/?q=17.071544120503,-96.715912270785" TargetMode="External"/><Relationship Id="rId765" Type="http://schemas.openxmlformats.org/officeDocument/2006/relationships/hyperlink" Target="https://maps.google.com/?q=17.068302024913,-96.722376031052" TargetMode="External"/><Relationship Id="rId972" Type="http://schemas.openxmlformats.org/officeDocument/2006/relationships/hyperlink" Target="https://maps.google.com/?q=17.613766741278,-98.00916418456" TargetMode="External"/><Relationship Id="rId1188" Type="http://schemas.openxmlformats.org/officeDocument/2006/relationships/hyperlink" Target="https://maps.google.com/?q=17.081621228125,-96.765056898954" TargetMode="External"/><Relationship Id="rId1395" Type="http://schemas.openxmlformats.org/officeDocument/2006/relationships/hyperlink" Target="https://maps.google.com/?q=17.01539,-97.931395" TargetMode="External"/><Relationship Id="rId2239" Type="http://schemas.openxmlformats.org/officeDocument/2006/relationships/hyperlink" Target="https://maps.google.com/?q=17.34787163,-96.5313001" TargetMode="External"/><Relationship Id="rId2446" Type="http://schemas.openxmlformats.org/officeDocument/2006/relationships/hyperlink" Target="https://maps.google.com/?q=16.253238,-96.338317" TargetMode="External"/><Relationship Id="rId2653" Type="http://schemas.openxmlformats.org/officeDocument/2006/relationships/hyperlink" Target="https://maps.google.com/?q=16.652912,-97.340951" TargetMode="External"/><Relationship Id="rId2860" Type="http://schemas.openxmlformats.org/officeDocument/2006/relationships/hyperlink" Target="https://maps.google.com/?q=17.289733726462,-97.377281672267" TargetMode="External"/><Relationship Id="rId3704" Type="http://schemas.openxmlformats.org/officeDocument/2006/relationships/hyperlink" Target="https://maps.google.com/?q=16.2074921,-97.531946" TargetMode="External"/><Relationship Id="rId418" Type="http://schemas.openxmlformats.org/officeDocument/2006/relationships/hyperlink" Target="https://maps.google.com/?q=17.495900345651,-97.732106848462" TargetMode="External"/><Relationship Id="rId625" Type="http://schemas.openxmlformats.org/officeDocument/2006/relationships/hyperlink" Target="https://maps.google.com/?q=17.048325027155,-96.713969612217" TargetMode="External"/><Relationship Id="rId832" Type="http://schemas.openxmlformats.org/officeDocument/2006/relationships/hyperlink" Target="https://maps.google.com/?q=17.084826455528,-96.696117880695" TargetMode="External"/><Relationship Id="rId1048" Type="http://schemas.openxmlformats.org/officeDocument/2006/relationships/hyperlink" Target="https://maps.google.com/?q=17.335316,-98.012051" TargetMode="External"/><Relationship Id="rId1255" Type="http://schemas.openxmlformats.org/officeDocument/2006/relationships/hyperlink" Target="https://maps.google.com/?q=18.088990897059,-97.687827794968" TargetMode="External"/><Relationship Id="rId1462" Type="http://schemas.openxmlformats.org/officeDocument/2006/relationships/hyperlink" Target="https://maps.google.com/?q=16.866371,-96.785623" TargetMode="External"/><Relationship Id="rId2306" Type="http://schemas.openxmlformats.org/officeDocument/2006/relationships/hyperlink" Target="https://maps.google.com/?q=17.35794203,-96.52905842" TargetMode="External"/><Relationship Id="rId2513" Type="http://schemas.openxmlformats.org/officeDocument/2006/relationships/hyperlink" Target="https://maps.google.com/?q=16.267914,-96.309354" TargetMode="External"/><Relationship Id="rId3911" Type="http://schemas.openxmlformats.org/officeDocument/2006/relationships/hyperlink" Target="https://maps.google.com/?q=16.86263791,-94.73026398" TargetMode="External"/><Relationship Id="rId1115" Type="http://schemas.openxmlformats.org/officeDocument/2006/relationships/hyperlink" Target="https://maps.google.com/?q=17.335240598709,-98.011998799793" TargetMode="External"/><Relationship Id="rId1322" Type="http://schemas.openxmlformats.org/officeDocument/2006/relationships/hyperlink" Target="https://maps.google.com/?q=16.595310641773,-94.694232322754" TargetMode="External"/><Relationship Id="rId2720" Type="http://schemas.openxmlformats.org/officeDocument/2006/relationships/hyperlink" Target="https://maps.google.com/?q=17.060561076342,-96.704793487443" TargetMode="External"/><Relationship Id="rId3287" Type="http://schemas.openxmlformats.org/officeDocument/2006/relationships/hyperlink" Target="https://maps.google.com/?q=16.785616919817,-96.5649385719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"/>
  <sheetViews>
    <sheetView tabSelected="1" workbookViewId="0">
      <selection activeCell="A13" sqref="A13"/>
    </sheetView>
  </sheetViews>
  <sheetFormatPr baseColWidth="10" defaultColWidth="9.1796875" defaultRowHeight="14.5" x14ac:dyDescent="0.35"/>
  <cols>
    <col min="1" max="1" width="9" customWidth="1"/>
    <col min="2" max="2" width="27" customWidth="1"/>
    <col min="3" max="3" width="13" customWidth="1"/>
    <col min="4" max="4" width="3" customWidth="1"/>
  </cols>
  <sheetData>
    <row r="1" spans="1:16" ht="78" customHeight="1" x14ac:dyDescent="0.35">
      <c r="A1" s="23" t="s">
        <v>1646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29" x14ac:dyDescent="0.35">
      <c r="A2" s="1"/>
      <c r="B2" s="1" t="s">
        <v>72</v>
      </c>
      <c r="C2" s="1" t="s">
        <v>1643</v>
      </c>
    </row>
    <row r="3" spans="1:16" ht="35.15" customHeight="1" x14ac:dyDescent="0.35">
      <c r="A3" s="3"/>
      <c r="B3" s="3" t="s">
        <v>1644</v>
      </c>
      <c r="C3" s="3">
        <v>40</v>
      </c>
    </row>
    <row r="4" spans="1:16" ht="35.15" customHeight="1" x14ac:dyDescent="0.35">
      <c r="A4" s="4"/>
      <c r="B4" s="4" t="s">
        <v>1645</v>
      </c>
      <c r="C4" s="4">
        <v>95</v>
      </c>
    </row>
    <row r="5" spans="1:16" ht="35.15" customHeight="1" x14ac:dyDescent="0.35">
      <c r="A5" s="5"/>
      <c r="B5" s="5" t="s">
        <v>1635</v>
      </c>
      <c r="C5" s="5">
        <v>54</v>
      </c>
    </row>
    <row r="6" spans="1:16" ht="35.15" customHeight="1" x14ac:dyDescent="0.35">
      <c r="A6" s="6"/>
      <c r="B6" s="6" t="s">
        <v>1636</v>
      </c>
      <c r="C6" s="6">
        <v>113</v>
      </c>
    </row>
    <row r="7" spans="1:16" ht="35.15" customHeight="1" x14ac:dyDescent="0.35">
      <c r="A7" s="5"/>
      <c r="B7" s="5" t="s">
        <v>1637</v>
      </c>
      <c r="C7" s="5">
        <v>40</v>
      </c>
    </row>
    <row r="8" spans="1:16" ht="35.15" customHeight="1" x14ac:dyDescent="0.35">
      <c r="A8" s="6"/>
      <c r="B8" s="6" t="s">
        <v>1638</v>
      </c>
      <c r="C8" s="6">
        <v>43</v>
      </c>
    </row>
    <row r="9" spans="1:16" ht="35.15" customHeight="1" x14ac:dyDescent="0.35">
      <c r="A9" s="5"/>
      <c r="B9" s="5" t="s">
        <v>1639</v>
      </c>
      <c r="C9" s="5">
        <v>83</v>
      </c>
    </row>
    <row r="10" spans="1:16" ht="35.15" customHeight="1" x14ac:dyDescent="0.35">
      <c r="A10" s="6"/>
      <c r="B10" s="6" t="s">
        <v>1640</v>
      </c>
      <c r="C10" s="6">
        <v>261</v>
      </c>
    </row>
    <row r="11" spans="1:16" ht="35.15" customHeight="1" x14ac:dyDescent="0.35">
      <c r="A11" s="5"/>
      <c r="B11" s="5" t="s">
        <v>1641</v>
      </c>
      <c r="C11" s="5">
        <v>12</v>
      </c>
    </row>
    <row r="12" spans="1:16" ht="35.15" customHeight="1" x14ac:dyDescent="0.35">
      <c r="A12" s="6"/>
      <c r="B12" s="6" t="s">
        <v>1642</v>
      </c>
      <c r="C12" s="6">
        <v>741</v>
      </c>
    </row>
    <row r="13" spans="1:16" x14ac:dyDescent="0.35">
      <c r="A13" s="2"/>
      <c r="B13" s="2"/>
      <c r="C13" s="2"/>
    </row>
    <row r="14" spans="1:16" x14ac:dyDescent="0.35">
      <c r="A14" s="2"/>
      <c r="B14" s="2"/>
      <c r="C14" s="2"/>
    </row>
    <row r="15" spans="1:16" x14ac:dyDescent="0.35">
      <c r="A15" s="2"/>
      <c r="B15" s="2"/>
      <c r="C15" s="2"/>
    </row>
    <row r="16" spans="1:16" x14ac:dyDescent="0.35">
      <c r="A16" s="2"/>
      <c r="B16" s="2"/>
      <c r="C16" s="2"/>
    </row>
    <row r="17" spans="1:3" x14ac:dyDescent="0.35">
      <c r="A17" s="2"/>
      <c r="B17" s="2"/>
      <c r="C17" s="2"/>
    </row>
    <row r="18" spans="1:3" x14ac:dyDescent="0.35">
      <c r="A18" s="2"/>
      <c r="B18" s="2"/>
      <c r="C18" s="2"/>
    </row>
    <row r="19" spans="1:3" x14ac:dyDescent="0.35">
      <c r="A19" s="2"/>
      <c r="B19" s="2"/>
      <c r="C19" s="2"/>
    </row>
    <row r="20" spans="1:3" x14ac:dyDescent="0.35">
      <c r="A20" s="2"/>
      <c r="B20" s="2"/>
      <c r="C20" s="2"/>
    </row>
    <row r="21" spans="1:3" x14ac:dyDescent="0.35">
      <c r="A21" s="2"/>
      <c r="B21" s="2"/>
      <c r="C21" s="2"/>
    </row>
    <row r="22" spans="1:3" x14ac:dyDescent="0.35">
      <c r="A22" s="2"/>
      <c r="B22" s="2"/>
      <c r="C22" s="2"/>
    </row>
    <row r="23" spans="1:3" x14ac:dyDescent="0.35">
      <c r="A23" s="2"/>
      <c r="B23" s="2"/>
      <c r="C23" s="2"/>
    </row>
    <row r="24" spans="1:3" x14ac:dyDescent="0.35">
      <c r="A24" s="2"/>
      <c r="B24" s="2"/>
      <c r="C24" s="2"/>
    </row>
    <row r="25" spans="1:3" x14ac:dyDescent="0.35">
      <c r="A25" s="2"/>
      <c r="B25" s="2"/>
      <c r="C25" s="2"/>
    </row>
    <row r="26" spans="1:3" x14ac:dyDescent="0.35">
      <c r="A26" s="2"/>
      <c r="B26" s="2"/>
      <c r="C26" s="2"/>
    </row>
    <row r="27" spans="1:3" x14ac:dyDescent="0.35">
      <c r="A27" s="2"/>
      <c r="B27" s="2"/>
      <c r="C27" s="2"/>
    </row>
    <row r="28" spans="1:3" x14ac:dyDescent="0.35">
      <c r="A28" s="2"/>
      <c r="B28" s="2"/>
      <c r="C28" s="2"/>
    </row>
    <row r="29" spans="1:3" x14ac:dyDescent="0.35">
      <c r="A29" s="2"/>
      <c r="B29" s="2"/>
      <c r="C29" s="2"/>
    </row>
    <row r="30" spans="1:3" x14ac:dyDescent="0.35">
      <c r="A30" s="2"/>
      <c r="B30" s="2"/>
      <c r="C30" s="2"/>
    </row>
    <row r="31" spans="1:3" x14ac:dyDescent="0.35">
      <c r="A31" s="2"/>
      <c r="B31" s="2"/>
      <c r="C31" s="2"/>
    </row>
    <row r="32" spans="1:3" x14ac:dyDescent="0.35">
      <c r="A32" s="2"/>
      <c r="B32" s="2"/>
      <c r="C32" s="2"/>
    </row>
    <row r="33" spans="1:3" x14ac:dyDescent="0.35">
      <c r="A33" s="2"/>
      <c r="B33" s="2"/>
      <c r="C33" s="2"/>
    </row>
    <row r="34" spans="1:3" x14ac:dyDescent="0.35">
      <c r="A34" s="2"/>
      <c r="B34" s="2"/>
      <c r="C34" s="2"/>
    </row>
    <row r="35" spans="1:3" x14ac:dyDescent="0.35">
      <c r="A35" s="2"/>
      <c r="B35" s="2"/>
      <c r="C35" s="2"/>
    </row>
    <row r="36" spans="1:3" x14ac:dyDescent="0.35">
      <c r="A36" s="2"/>
      <c r="B36" s="2"/>
      <c r="C36" s="2"/>
    </row>
    <row r="37" spans="1:3" x14ac:dyDescent="0.35">
      <c r="A37" s="2"/>
      <c r="B37" s="2"/>
      <c r="C37" s="2"/>
    </row>
    <row r="38" spans="1:3" x14ac:dyDescent="0.35">
      <c r="A38" s="2"/>
      <c r="B38" s="2"/>
      <c r="C38" s="2"/>
    </row>
    <row r="39" spans="1:3" x14ac:dyDescent="0.35">
      <c r="A39" s="2"/>
      <c r="B39" s="2"/>
      <c r="C39" s="2"/>
    </row>
    <row r="40" spans="1:3" x14ac:dyDescent="0.35">
      <c r="A40" s="2"/>
      <c r="B40" s="2"/>
      <c r="C40" s="2"/>
    </row>
    <row r="41" spans="1:3" x14ac:dyDescent="0.35">
      <c r="A41" s="2"/>
      <c r="B41" s="2"/>
      <c r="C41" s="2"/>
    </row>
    <row r="42" spans="1:3" x14ac:dyDescent="0.35">
      <c r="A42" s="2"/>
      <c r="B42" s="2"/>
      <c r="C42" s="2"/>
    </row>
    <row r="43" spans="1:3" x14ac:dyDescent="0.35">
      <c r="A43" s="2"/>
      <c r="B43" s="2"/>
      <c r="C43" s="2"/>
    </row>
    <row r="44" spans="1:3" x14ac:dyDescent="0.35">
      <c r="A44" s="2"/>
      <c r="B44" s="2"/>
      <c r="C44" s="2"/>
    </row>
    <row r="45" spans="1:3" x14ac:dyDescent="0.35">
      <c r="A45" s="2"/>
      <c r="B45" s="2"/>
      <c r="C45" s="2"/>
    </row>
    <row r="46" spans="1:3" x14ac:dyDescent="0.35">
      <c r="A46" s="2"/>
      <c r="B46" s="2"/>
      <c r="C46" s="2"/>
    </row>
    <row r="47" spans="1:3" x14ac:dyDescent="0.35">
      <c r="A47" s="2"/>
      <c r="B47" s="2"/>
      <c r="C47" s="2"/>
    </row>
    <row r="48" spans="1:3" x14ac:dyDescent="0.35">
      <c r="A48" s="2"/>
      <c r="B48" s="2"/>
      <c r="C48" s="2"/>
    </row>
    <row r="49" spans="1:3" x14ac:dyDescent="0.35">
      <c r="A49" s="2"/>
      <c r="B49" s="2"/>
      <c r="C49" s="2"/>
    </row>
    <row r="50" spans="1:3" x14ac:dyDescent="0.35">
      <c r="A50" s="2"/>
      <c r="B50" s="2"/>
      <c r="C50" s="2"/>
    </row>
    <row r="51" spans="1:3" x14ac:dyDescent="0.35">
      <c r="A51" s="2"/>
      <c r="B51" s="2"/>
      <c r="C51" s="2"/>
    </row>
    <row r="52" spans="1:3" x14ac:dyDescent="0.35">
      <c r="A52" s="2"/>
      <c r="B52" s="2"/>
      <c r="C52" s="2"/>
    </row>
    <row r="53" spans="1:3" x14ac:dyDescent="0.35">
      <c r="A53" s="2"/>
      <c r="B53" s="2"/>
      <c r="C53" s="2"/>
    </row>
    <row r="54" spans="1:3" x14ac:dyDescent="0.35">
      <c r="A54" s="2"/>
      <c r="B54" s="2"/>
      <c r="C54" s="2"/>
    </row>
    <row r="55" spans="1:3" x14ac:dyDescent="0.35">
      <c r="A55" s="2"/>
      <c r="B55" s="2"/>
      <c r="C55" s="2"/>
    </row>
    <row r="56" spans="1:3" x14ac:dyDescent="0.35">
      <c r="A56" s="2"/>
      <c r="B56" s="2"/>
      <c r="C56" s="2"/>
    </row>
    <row r="57" spans="1:3" x14ac:dyDescent="0.35">
      <c r="A57" s="2"/>
      <c r="B57" s="2"/>
      <c r="C57" s="2"/>
    </row>
    <row r="58" spans="1:3" x14ac:dyDescent="0.35">
      <c r="A58" s="2"/>
      <c r="B58" s="2"/>
      <c r="C58" s="2"/>
    </row>
    <row r="59" spans="1:3" x14ac:dyDescent="0.35">
      <c r="A59" s="2"/>
      <c r="B59" s="2"/>
      <c r="C59" s="2"/>
    </row>
    <row r="60" spans="1:3" x14ac:dyDescent="0.35">
      <c r="A60" s="2"/>
      <c r="B60" s="2"/>
      <c r="C60" s="2"/>
    </row>
    <row r="61" spans="1:3" x14ac:dyDescent="0.35">
      <c r="A61" s="2"/>
      <c r="B61" s="2"/>
      <c r="C61" s="2"/>
    </row>
    <row r="62" spans="1:3" x14ac:dyDescent="0.35">
      <c r="A62" s="2"/>
      <c r="B62" s="2"/>
      <c r="C62" s="2"/>
    </row>
    <row r="63" spans="1:3" x14ac:dyDescent="0.35">
      <c r="A63" s="2"/>
      <c r="B63" s="2"/>
      <c r="C63" s="2"/>
    </row>
    <row r="64" spans="1:3" x14ac:dyDescent="0.35">
      <c r="A64" s="2"/>
      <c r="B64" s="2"/>
      <c r="C64" s="2"/>
    </row>
    <row r="65" spans="1:3" x14ac:dyDescent="0.35">
      <c r="A65" s="2"/>
      <c r="B65" s="2"/>
      <c r="C65" s="2"/>
    </row>
    <row r="66" spans="1:3" x14ac:dyDescent="0.35">
      <c r="A66" s="2"/>
      <c r="B66" s="2"/>
      <c r="C66" s="2"/>
    </row>
    <row r="67" spans="1:3" x14ac:dyDescent="0.35">
      <c r="A67" s="2"/>
      <c r="B67" s="2"/>
      <c r="C67" s="2"/>
    </row>
    <row r="68" spans="1:3" x14ac:dyDescent="0.35">
      <c r="A68" s="2"/>
      <c r="B68" s="2"/>
      <c r="C68" s="2"/>
    </row>
    <row r="69" spans="1:3" x14ac:dyDescent="0.35">
      <c r="A69" s="2"/>
      <c r="B69" s="2"/>
      <c r="C69" s="2"/>
    </row>
    <row r="70" spans="1:3" x14ac:dyDescent="0.35">
      <c r="A70" s="2"/>
      <c r="B70" s="2"/>
      <c r="C70" s="2"/>
    </row>
    <row r="71" spans="1:3" x14ac:dyDescent="0.35">
      <c r="A71" s="2"/>
      <c r="B71" s="2"/>
      <c r="C71" s="2"/>
    </row>
    <row r="72" spans="1:3" x14ac:dyDescent="0.35">
      <c r="A72" s="2"/>
      <c r="B72" s="2"/>
      <c r="C72" s="2"/>
    </row>
    <row r="73" spans="1:3" x14ac:dyDescent="0.35">
      <c r="A73" s="2"/>
      <c r="B73" s="2"/>
      <c r="C73" s="2"/>
    </row>
    <row r="74" spans="1:3" x14ac:dyDescent="0.35">
      <c r="A74" s="2"/>
      <c r="B74" s="2"/>
      <c r="C74" s="2"/>
    </row>
    <row r="75" spans="1:3" x14ac:dyDescent="0.35">
      <c r="A75" s="2"/>
      <c r="B75" s="2"/>
      <c r="C75" s="2"/>
    </row>
    <row r="76" spans="1:3" x14ac:dyDescent="0.35">
      <c r="A76" s="2"/>
      <c r="B76" s="2"/>
      <c r="C76" s="2"/>
    </row>
    <row r="77" spans="1:3" x14ac:dyDescent="0.35">
      <c r="A77" s="2"/>
      <c r="B77" s="2"/>
      <c r="C77" s="2"/>
    </row>
    <row r="78" spans="1:3" x14ac:dyDescent="0.35">
      <c r="A78" s="2"/>
      <c r="B78" s="2"/>
      <c r="C78" s="2"/>
    </row>
    <row r="79" spans="1:3" x14ac:dyDescent="0.35">
      <c r="A79" s="2"/>
      <c r="B79" s="2"/>
      <c r="C79" s="2"/>
    </row>
    <row r="80" spans="1:3" x14ac:dyDescent="0.35">
      <c r="A80" s="2"/>
      <c r="B80" s="2"/>
      <c r="C80" s="2"/>
    </row>
    <row r="81" spans="1:3" x14ac:dyDescent="0.35">
      <c r="A81" s="2"/>
      <c r="B81" s="2"/>
      <c r="C81" s="2"/>
    </row>
    <row r="82" spans="1:3" x14ac:dyDescent="0.35">
      <c r="A82" s="2"/>
      <c r="B82" s="2"/>
      <c r="C82" s="2"/>
    </row>
    <row r="83" spans="1:3" x14ac:dyDescent="0.35">
      <c r="A83" s="2"/>
      <c r="B83" s="2"/>
      <c r="C83" s="2"/>
    </row>
    <row r="84" spans="1:3" x14ac:dyDescent="0.35">
      <c r="A84" s="2"/>
      <c r="B84" s="2"/>
      <c r="C84" s="2"/>
    </row>
    <row r="85" spans="1:3" x14ac:dyDescent="0.35">
      <c r="A85" s="2"/>
      <c r="B85" s="2"/>
      <c r="C85" s="2"/>
    </row>
    <row r="86" spans="1:3" x14ac:dyDescent="0.35">
      <c r="A86" s="2"/>
      <c r="B86" s="2"/>
      <c r="C86" s="2"/>
    </row>
    <row r="87" spans="1:3" x14ac:dyDescent="0.35">
      <c r="A87" s="2"/>
      <c r="B87" s="2"/>
      <c r="C87" s="2"/>
    </row>
    <row r="88" spans="1:3" x14ac:dyDescent="0.35">
      <c r="A88" s="2"/>
      <c r="B88" s="2"/>
      <c r="C88" s="2"/>
    </row>
    <row r="89" spans="1:3" x14ac:dyDescent="0.35">
      <c r="A89" s="2"/>
      <c r="B89" s="2"/>
      <c r="C89" s="2"/>
    </row>
    <row r="90" spans="1:3" x14ac:dyDescent="0.35">
      <c r="A90" s="2"/>
      <c r="B90" s="2"/>
      <c r="C90" s="2"/>
    </row>
    <row r="91" spans="1:3" x14ac:dyDescent="0.35">
      <c r="A91" s="2"/>
      <c r="B91" s="2"/>
      <c r="C91" s="2"/>
    </row>
    <row r="92" spans="1:3" x14ac:dyDescent="0.35">
      <c r="A92" s="2"/>
      <c r="B92" s="2"/>
      <c r="C92" s="2"/>
    </row>
    <row r="93" spans="1:3" x14ac:dyDescent="0.35">
      <c r="A93" s="2"/>
      <c r="B93" s="2"/>
      <c r="C93" s="2"/>
    </row>
    <row r="94" spans="1:3" x14ac:dyDescent="0.35">
      <c r="A94" s="2"/>
      <c r="B94" s="2"/>
      <c r="C94" s="2"/>
    </row>
    <row r="95" spans="1:3" x14ac:dyDescent="0.35">
      <c r="A95" s="2"/>
      <c r="B95" s="2"/>
      <c r="C95" s="2"/>
    </row>
    <row r="96" spans="1:3" x14ac:dyDescent="0.35">
      <c r="A96" s="2"/>
      <c r="B96" s="2"/>
      <c r="C96" s="2"/>
    </row>
    <row r="97" spans="1:3" x14ac:dyDescent="0.35">
      <c r="A97" s="2"/>
      <c r="B97" s="2"/>
      <c r="C97" s="2"/>
    </row>
    <row r="98" spans="1:3" x14ac:dyDescent="0.35">
      <c r="A98" s="2"/>
      <c r="B98" s="2"/>
      <c r="C98" s="2"/>
    </row>
    <row r="99" spans="1:3" x14ac:dyDescent="0.35">
      <c r="A99" s="2"/>
      <c r="B99" s="2"/>
      <c r="C99" s="2"/>
    </row>
    <row r="100" spans="1:3" x14ac:dyDescent="0.35">
      <c r="A100" s="2"/>
      <c r="B100" s="2"/>
      <c r="C100" s="2"/>
    </row>
  </sheetData>
  <mergeCells count="1">
    <mergeCell ref="A1:P1"/>
  </mergeCells>
  <pageMargins left="0.25" right="0.25" top="0.75" bottom="0.75" header="0.3" footer="0.3"/>
  <pageSetup paperSize="173" scale="87" fitToHeight="0" orientation="landscape" r:id="rId1"/>
  <headerFooter>
    <oddFooter>&amp;L&amp;BPagina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41"/>
  <sheetViews>
    <sheetView topLeftCell="C4017" zoomScale="62" workbookViewId="0">
      <selection sqref="A1:L4029"/>
    </sheetView>
  </sheetViews>
  <sheetFormatPr baseColWidth="10" defaultColWidth="9.1796875" defaultRowHeight="14.5" x14ac:dyDescent="0.35"/>
  <cols>
    <col min="1" max="1" width="38" customWidth="1"/>
    <col min="2" max="2" width="38" style="2" customWidth="1"/>
    <col min="3" max="3" width="54" style="2" customWidth="1"/>
    <col min="4" max="4" width="27" style="12" customWidth="1"/>
    <col min="5" max="6" width="27" style="18" customWidth="1"/>
    <col min="7" max="8" width="27" style="13" customWidth="1"/>
    <col min="9" max="9" width="27" style="18" customWidth="1"/>
    <col min="10" max="12" width="15" style="18" customWidth="1"/>
  </cols>
  <sheetData>
    <row r="1" spans="1:12" ht="98.15" customHeight="1" x14ac:dyDescent="0.35">
      <c r="A1" s="23" t="s">
        <v>1646</v>
      </c>
      <c r="B1" s="23"/>
      <c r="C1" s="23"/>
      <c r="D1" s="24"/>
      <c r="E1" s="23"/>
      <c r="F1" s="23"/>
      <c r="G1" s="24"/>
      <c r="H1" s="24"/>
      <c r="I1" s="23"/>
      <c r="J1" s="23"/>
      <c r="K1" s="23"/>
      <c r="L1" s="23"/>
    </row>
    <row r="2" spans="1:12" x14ac:dyDescent="0.35">
      <c r="A2" s="1" t="s">
        <v>0</v>
      </c>
      <c r="B2" s="1" t="s">
        <v>13</v>
      </c>
      <c r="C2" s="1" t="s">
        <v>26</v>
      </c>
      <c r="D2" s="7" t="s">
        <v>60</v>
      </c>
      <c r="E2" s="1" t="s">
        <v>1647</v>
      </c>
      <c r="F2" s="1" t="s">
        <v>80</v>
      </c>
      <c r="G2" s="7" t="s">
        <v>92</v>
      </c>
      <c r="H2" s="7" t="s">
        <v>114</v>
      </c>
      <c r="I2" s="1" t="s">
        <v>137</v>
      </c>
      <c r="J2" s="1" t="s">
        <v>140</v>
      </c>
      <c r="K2" s="1" t="s">
        <v>141</v>
      </c>
      <c r="L2" s="1" t="s">
        <v>142</v>
      </c>
    </row>
    <row r="3" spans="1:12" ht="29" x14ac:dyDescent="0.35">
      <c r="A3" s="3" t="s">
        <v>3</v>
      </c>
      <c r="B3" s="5" t="s">
        <v>16</v>
      </c>
      <c r="C3" s="5" t="s">
        <v>143</v>
      </c>
      <c r="D3" s="9" t="s">
        <v>63</v>
      </c>
      <c r="E3" s="14" t="s">
        <v>75</v>
      </c>
      <c r="F3" s="14" t="s">
        <v>87</v>
      </c>
      <c r="G3" s="8" t="s">
        <v>144</v>
      </c>
      <c r="H3" s="8" t="s">
        <v>145</v>
      </c>
      <c r="I3" s="14" t="s">
        <v>138</v>
      </c>
      <c r="J3" s="14">
        <v>17.122804108606999</v>
      </c>
      <c r="K3" s="14">
        <v>-96.801463134794005</v>
      </c>
      <c r="L3" s="14" t="str">
        <f>HYPERLINK("https://maps.google.com/?q=17.122804108607,-96.801463134794", "🔗 Ver Mapa")</f>
        <v>🔗 Ver Mapa</v>
      </c>
    </row>
    <row r="4" spans="1:12" ht="43.5" x14ac:dyDescent="0.35">
      <c r="A4" s="4" t="s">
        <v>3</v>
      </c>
      <c r="B4" s="6" t="s">
        <v>16</v>
      </c>
      <c r="C4" s="6" t="s">
        <v>146</v>
      </c>
      <c r="D4" s="10" t="s">
        <v>63</v>
      </c>
      <c r="E4" s="15" t="s">
        <v>75</v>
      </c>
      <c r="F4" s="15" t="s">
        <v>86</v>
      </c>
      <c r="G4" s="11" t="s">
        <v>103</v>
      </c>
      <c r="H4" s="11" t="s">
        <v>125</v>
      </c>
      <c r="I4" s="15" t="s">
        <v>138</v>
      </c>
      <c r="J4" s="15">
        <v>17.078218431027</v>
      </c>
      <c r="K4" s="15">
        <v>-96.711311178989007</v>
      </c>
      <c r="L4" s="15" t="str">
        <f>HYPERLINK("https://maps.google.com/?q=17.078218431027,-96.711311178989", "🔗 Ver Mapa")</f>
        <v>🔗 Ver Mapa</v>
      </c>
    </row>
    <row r="5" spans="1:12" ht="58" x14ac:dyDescent="0.35">
      <c r="A5" s="5" t="s">
        <v>1</v>
      </c>
      <c r="B5" s="5" t="s">
        <v>14</v>
      </c>
      <c r="C5" s="5" t="s">
        <v>27</v>
      </c>
      <c r="D5" s="8" t="s">
        <v>61</v>
      </c>
      <c r="E5" s="16" t="s">
        <v>73</v>
      </c>
      <c r="F5" s="16" t="s">
        <v>81</v>
      </c>
      <c r="G5" s="8" t="s">
        <v>93</v>
      </c>
      <c r="H5" s="8" t="s">
        <v>115</v>
      </c>
      <c r="I5" s="16" t="s">
        <v>138</v>
      </c>
      <c r="J5" s="8">
        <v>17.609985150623</v>
      </c>
      <c r="K5" s="16">
        <v>-97.68444527119</v>
      </c>
      <c r="L5" s="16" t="str">
        <f>HYPERLINK("https://maps.google.com/?q=17.609985150623,-97.68444527119", "🔗 Ver Mapa")</f>
        <v>🔗 Ver Mapa</v>
      </c>
    </row>
    <row r="6" spans="1:12" ht="58" x14ac:dyDescent="0.35">
      <c r="A6" s="6" t="s">
        <v>1</v>
      </c>
      <c r="B6" s="6" t="s">
        <v>14</v>
      </c>
      <c r="C6" s="6" t="s">
        <v>28</v>
      </c>
      <c r="D6" s="11" t="s">
        <v>61</v>
      </c>
      <c r="E6" s="17" t="s">
        <v>74</v>
      </c>
      <c r="F6" s="17" t="s">
        <v>82</v>
      </c>
      <c r="G6" s="11" t="s">
        <v>94</v>
      </c>
      <c r="H6" s="11" t="s">
        <v>116</v>
      </c>
      <c r="I6" s="17" t="s">
        <v>138</v>
      </c>
      <c r="J6" s="17">
        <v>16.340448053907998</v>
      </c>
      <c r="K6" s="17">
        <v>-98.447620966390005</v>
      </c>
      <c r="L6" s="17" t="str">
        <f>HYPERLINK("https://maps.google.com/?q=16.340448053908,-98.44762096639", "🔗 Ver Mapa")</f>
        <v>🔗 Ver Mapa</v>
      </c>
    </row>
    <row r="7" spans="1:12" ht="43.5" x14ac:dyDescent="0.35">
      <c r="A7" s="5" t="s">
        <v>1</v>
      </c>
      <c r="B7" s="5" t="s">
        <v>14</v>
      </c>
      <c r="C7" s="5" t="s">
        <v>29</v>
      </c>
      <c r="D7" s="8" t="s">
        <v>61</v>
      </c>
      <c r="E7" s="16" t="s">
        <v>74</v>
      </c>
      <c r="F7" s="16" t="s">
        <v>82</v>
      </c>
      <c r="G7" s="8" t="s">
        <v>95</v>
      </c>
      <c r="H7" s="8" t="s">
        <v>117</v>
      </c>
      <c r="I7" s="16" t="s">
        <v>138</v>
      </c>
      <c r="J7" s="16">
        <v>16.426485192695999</v>
      </c>
      <c r="K7" s="16">
        <v>-97.641153636634002</v>
      </c>
      <c r="L7" s="16" t="str">
        <f>HYPERLINK("https://maps.google.com/?q=16.426485192696,-97.641153636634", "🔗 Ver Mapa")</f>
        <v>🔗 Ver Mapa</v>
      </c>
    </row>
    <row r="8" spans="1:12" ht="58" x14ac:dyDescent="0.35">
      <c r="A8" s="6" t="s">
        <v>1</v>
      </c>
      <c r="B8" s="6" t="s">
        <v>14</v>
      </c>
      <c r="C8" s="6" t="s">
        <v>30</v>
      </c>
      <c r="D8" s="11" t="s">
        <v>61</v>
      </c>
      <c r="E8" s="17" t="s">
        <v>74</v>
      </c>
      <c r="F8" s="17" t="s">
        <v>82</v>
      </c>
      <c r="G8" s="11" t="s">
        <v>96</v>
      </c>
      <c r="H8" s="11" t="s">
        <v>118</v>
      </c>
      <c r="I8" s="17" t="s">
        <v>138</v>
      </c>
      <c r="J8" s="17">
        <v>16.372913241266001</v>
      </c>
      <c r="K8" s="17">
        <v>-98.398081251015995</v>
      </c>
      <c r="L8" s="17" t="str">
        <f>HYPERLINK("https://maps.google.com/?q=16.372913241266,-98.398081251016", "🔗 Ver Mapa")</f>
        <v>🔗 Ver Mapa</v>
      </c>
    </row>
    <row r="9" spans="1:12" ht="58" x14ac:dyDescent="0.35">
      <c r="A9" s="5" t="s">
        <v>1</v>
      </c>
      <c r="B9" s="5" t="s">
        <v>14</v>
      </c>
      <c r="C9" s="5" t="s">
        <v>31</v>
      </c>
      <c r="D9" s="8" t="s">
        <v>61</v>
      </c>
      <c r="E9" s="16" t="s">
        <v>73</v>
      </c>
      <c r="F9" s="16" t="s">
        <v>83</v>
      </c>
      <c r="G9" s="8" t="s">
        <v>97</v>
      </c>
      <c r="H9" s="8" t="s">
        <v>119</v>
      </c>
      <c r="I9" s="16" t="s">
        <v>138</v>
      </c>
      <c r="J9" s="16">
        <v>17.120141652819999</v>
      </c>
      <c r="K9" s="16">
        <v>-97.785877264801002</v>
      </c>
      <c r="L9" s="16" t="str">
        <f>HYPERLINK("https://maps.google.com/?q=17.12014165282,-97.785877264801", "🔗 Ver Mapa")</f>
        <v>🔗 Ver Mapa</v>
      </c>
    </row>
    <row r="10" spans="1:12" ht="58" x14ac:dyDescent="0.35">
      <c r="A10" s="6" t="s">
        <v>1</v>
      </c>
      <c r="B10" s="6" t="s">
        <v>14</v>
      </c>
      <c r="C10" s="6" t="s">
        <v>32</v>
      </c>
      <c r="D10" s="11" t="s">
        <v>61</v>
      </c>
      <c r="E10" s="17" t="s">
        <v>75</v>
      </c>
      <c r="F10" s="17" t="s">
        <v>84</v>
      </c>
      <c r="G10" s="11" t="s">
        <v>98</v>
      </c>
      <c r="H10" s="11" t="s">
        <v>120</v>
      </c>
      <c r="I10" s="17" t="s">
        <v>138</v>
      </c>
      <c r="J10" s="17">
        <v>16.801616130469</v>
      </c>
      <c r="K10" s="17">
        <v>-96.436586528091993</v>
      </c>
      <c r="L10" s="17" t="str">
        <f>HYPERLINK("https://maps.google.com/?q=16.801616130469,-96.436586528092", "🔗 Ver Mapa")</f>
        <v>🔗 Ver Mapa</v>
      </c>
    </row>
    <row r="11" spans="1:12" ht="58" x14ac:dyDescent="0.35">
      <c r="A11" s="5" t="s">
        <v>1</v>
      </c>
      <c r="B11" s="5" t="s">
        <v>14</v>
      </c>
      <c r="C11" s="5" t="s">
        <v>33</v>
      </c>
      <c r="D11" s="8" t="s">
        <v>61</v>
      </c>
      <c r="E11" s="16" t="s">
        <v>75</v>
      </c>
      <c r="F11" s="16" t="s">
        <v>84</v>
      </c>
      <c r="G11" s="8" t="s">
        <v>99</v>
      </c>
      <c r="H11" s="8" t="s">
        <v>121</v>
      </c>
      <c r="I11" s="16" t="s">
        <v>138</v>
      </c>
      <c r="J11" s="16">
        <v>16.892823742695999</v>
      </c>
      <c r="K11" s="16">
        <v>-96.502979562939998</v>
      </c>
      <c r="L11" s="16" t="str">
        <f>HYPERLINK("https://maps.google.com/?q=16.892823742696,-96.50297956294", "🔗 Ver Mapa")</f>
        <v>🔗 Ver Mapa</v>
      </c>
    </row>
    <row r="12" spans="1:12" ht="58" x14ac:dyDescent="0.35">
      <c r="A12" s="6" t="s">
        <v>1</v>
      </c>
      <c r="B12" s="6" t="s">
        <v>14</v>
      </c>
      <c r="C12" s="6" t="s">
        <v>34</v>
      </c>
      <c r="D12" s="11" t="s">
        <v>61</v>
      </c>
      <c r="E12" s="17" t="s">
        <v>75</v>
      </c>
      <c r="F12" s="17" t="s">
        <v>84</v>
      </c>
      <c r="G12" s="11" t="s">
        <v>100</v>
      </c>
      <c r="H12" s="11" t="s">
        <v>122</v>
      </c>
      <c r="I12" s="17" t="s">
        <v>138</v>
      </c>
      <c r="J12" s="17">
        <v>16.985646333095001</v>
      </c>
      <c r="K12" s="17">
        <v>-96.471552240394004</v>
      </c>
      <c r="L12" s="17" t="str">
        <f>HYPERLINK("https://maps.google.com/?q=16.985646333095,-96.471552240394", "🔗 Ver Mapa")</f>
        <v>🔗 Ver Mapa</v>
      </c>
    </row>
    <row r="13" spans="1:12" ht="58" x14ac:dyDescent="0.35">
      <c r="A13" s="5" t="s">
        <v>1</v>
      </c>
      <c r="B13" s="5" t="s">
        <v>14</v>
      </c>
      <c r="C13" s="5" t="s">
        <v>35</v>
      </c>
      <c r="D13" s="8" t="s">
        <v>61</v>
      </c>
      <c r="E13" s="16" t="s">
        <v>74</v>
      </c>
      <c r="F13" s="16" t="s">
        <v>82</v>
      </c>
      <c r="G13" s="8" t="s">
        <v>101</v>
      </c>
      <c r="H13" s="8" t="s">
        <v>123</v>
      </c>
      <c r="I13" s="16" t="s">
        <v>138</v>
      </c>
      <c r="J13" s="16">
        <v>16.510499417992001</v>
      </c>
      <c r="K13" s="16">
        <v>-98.162896701717997</v>
      </c>
      <c r="L13" s="16" t="str">
        <f>HYPERLINK("https://maps.google.com/?q=16.510499417992,-98.162896701718", "🔗 Ver Mapa")</f>
        <v>🔗 Ver Mapa</v>
      </c>
    </row>
    <row r="14" spans="1:12" ht="43.5" x14ac:dyDescent="0.35">
      <c r="A14" s="6" t="s">
        <v>2</v>
      </c>
      <c r="B14" s="6" t="s">
        <v>15</v>
      </c>
      <c r="C14" s="6" t="s">
        <v>36</v>
      </c>
      <c r="D14" s="11" t="s">
        <v>62</v>
      </c>
      <c r="E14" s="17" t="s">
        <v>76</v>
      </c>
      <c r="F14" s="17" t="s">
        <v>85</v>
      </c>
      <c r="G14" s="11" t="s">
        <v>102</v>
      </c>
      <c r="H14" s="11" t="s">
        <v>124</v>
      </c>
      <c r="I14" s="17" t="s">
        <v>138</v>
      </c>
      <c r="J14" s="17">
        <v>15.746143999999999</v>
      </c>
      <c r="K14" s="17">
        <v>-96.465182999999996</v>
      </c>
      <c r="L14" s="17" t="str">
        <f>HYPERLINK("https://maps.google.com/?q=15.746144,-96.465183", "🔗 Ver Mapa")</f>
        <v>🔗 Ver Mapa</v>
      </c>
    </row>
    <row r="15" spans="1:12" ht="43.5" x14ac:dyDescent="0.35">
      <c r="A15" s="5" t="s">
        <v>2</v>
      </c>
      <c r="B15" s="5" t="s">
        <v>15</v>
      </c>
      <c r="C15" s="5" t="s">
        <v>36</v>
      </c>
      <c r="D15" s="8" t="s">
        <v>62</v>
      </c>
      <c r="E15" s="16" t="s">
        <v>76</v>
      </c>
      <c r="F15" s="16" t="s">
        <v>85</v>
      </c>
      <c r="G15" s="8" t="s">
        <v>102</v>
      </c>
      <c r="H15" s="8" t="s">
        <v>124</v>
      </c>
      <c r="I15" s="16" t="s">
        <v>138</v>
      </c>
      <c r="J15" s="16">
        <v>16.237075999999998</v>
      </c>
      <c r="K15" s="16">
        <v>-97.292351999999994</v>
      </c>
      <c r="L15" s="16" t="str">
        <f>HYPERLINK("https://maps.google.com/?q=16.237076,-97.292352", "🔗 Ver Mapa")</f>
        <v>🔗 Ver Mapa</v>
      </c>
    </row>
    <row r="16" spans="1:12" ht="43.5" x14ac:dyDescent="0.35">
      <c r="A16" s="6" t="s">
        <v>2</v>
      </c>
      <c r="B16" s="6" t="s">
        <v>15</v>
      </c>
      <c r="C16" s="6" t="s">
        <v>36</v>
      </c>
      <c r="D16" s="11" t="s">
        <v>62</v>
      </c>
      <c r="E16" s="17" t="s">
        <v>76</v>
      </c>
      <c r="F16" s="17" t="s">
        <v>85</v>
      </c>
      <c r="G16" s="11" t="s">
        <v>102</v>
      </c>
      <c r="H16" s="11" t="s">
        <v>124</v>
      </c>
      <c r="I16" s="17" t="s">
        <v>138</v>
      </c>
      <c r="J16" s="17">
        <v>16.279057999999999</v>
      </c>
      <c r="K16" s="17">
        <v>-97.820240999999996</v>
      </c>
      <c r="L16" s="17" t="str">
        <f>HYPERLINK("https://maps.google.com/?q=16.279058,-97.820241", "🔗 Ver Mapa")</f>
        <v>🔗 Ver Mapa</v>
      </c>
    </row>
    <row r="17" spans="1:12" ht="43.5" x14ac:dyDescent="0.35">
      <c r="A17" s="5" t="s">
        <v>2</v>
      </c>
      <c r="B17" s="5" t="s">
        <v>15</v>
      </c>
      <c r="C17" s="5" t="s">
        <v>36</v>
      </c>
      <c r="D17" s="8" t="s">
        <v>62</v>
      </c>
      <c r="E17" s="16" t="s">
        <v>76</v>
      </c>
      <c r="F17" s="16" t="s">
        <v>85</v>
      </c>
      <c r="G17" s="8" t="s">
        <v>102</v>
      </c>
      <c r="H17" s="8" t="s">
        <v>124</v>
      </c>
      <c r="I17" s="16" t="s">
        <v>138</v>
      </c>
      <c r="J17" s="16">
        <v>16.328751</v>
      </c>
      <c r="K17" s="16">
        <v>-96.596529000000004</v>
      </c>
      <c r="L17" s="16" t="str">
        <f>HYPERLINK("https://maps.google.com/?q=16.328751,-96.596529", "🔗 Ver Mapa")</f>
        <v>🔗 Ver Mapa</v>
      </c>
    </row>
    <row r="18" spans="1:12" ht="43.5" x14ac:dyDescent="0.35">
      <c r="A18" s="6" t="s">
        <v>2</v>
      </c>
      <c r="B18" s="6" t="s">
        <v>15</v>
      </c>
      <c r="C18" s="6" t="s">
        <v>36</v>
      </c>
      <c r="D18" s="11" t="s">
        <v>62</v>
      </c>
      <c r="E18" s="17" t="s">
        <v>76</v>
      </c>
      <c r="F18" s="17" t="s">
        <v>85</v>
      </c>
      <c r="G18" s="11" t="s">
        <v>102</v>
      </c>
      <c r="H18" s="11" t="s">
        <v>124</v>
      </c>
      <c r="I18" s="17" t="s">
        <v>138</v>
      </c>
      <c r="J18" s="17">
        <v>16.332014000000001</v>
      </c>
      <c r="K18" s="17">
        <v>-95.231966</v>
      </c>
      <c r="L18" s="17" t="str">
        <f>HYPERLINK("https://maps.google.com/?q=16.332014,-95.231966", "🔗 Ver Mapa")</f>
        <v>🔗 Ver Mapa</v>
      </c>
    </row>
    <row r="19" spans="1:12" ht="43.5" x14ac:dyDescent="0.35">
      <c r="A19" s="5" t="s">
        <v>2</v>
      </c>
      <c r="B19" s="5" t="s">
        <v>15</v>
      </c>
      <c r="C19" s="5" t="s">
        <v>36</v>
      </c>
      <c r="D19" s="8" t="s">
        <v>62</v>
      </c>
      <c r="E19" s="16" t="s">
        <v>76</v>
      </c>
      <c r="F19" s="16" t="s">
        <v>85</v>
      </c>
      <c r="G19" s="8" t="s">
        <v>102</v>
      </c>
      <c r="H19" s="8" t="s">
        <v>124</v>
      </c>
      <c r="I19" s="16" t="s">
        <v>138</v>
      </c>
      <c r="J19" s="16">
        <v>16.433347000000001</v>
      </c>
      <c r="K19" s="16">
        <v>-95.021687</v>
      </c>
      <c r="L19" s="16" t="str">
        <f>HYPERLINK("https://maps.google.com/?q=16.433347,-95.021687", "🔗 Ver Mapa")</f>
        <v>🔗 Ver Mapa</v>
      </c>
    </row>
    <row r="20" spans="1:12" ht="43.5" x14ac:dyDescent="0.35">
      <c r="A20" s="6" t="s">
        <v>2</v>
      </c>
      <c r="B20" s="6" t="s">
        <v>15</v>
      </c>
      <c r="C20" s="6" t="s">
        <v>36</v>
      </c>
      <c r="D20" s="11" t="s">
        <v>62</v>
      </c>
      <c r="E20" s="17" t="s">
        <v>76</v>
      </c>
      <c r="F20" s="17" t="s">
        <v>85</v>
      </c>
      <c r="G20" s="11" t="s">
        <v>102</v>
      </c>
      <c r="H20" s="11" t="s">
        <v>124</v>
      </c>
      <c r="I20" s="17" t="s">
        <v>138</v>
      </c>
      <c r="J20" s="17">
        <v>16.500512000000001</v>
      </c>
      <c r="K20" s="17">
        <v>-96.106790000000004</v>
      </c>
      <c r="L20" s="17" t="str">
        <f>HYPERLINK("https://maps.google.com/?q=16.500512,-96.10679", "🔗 Ver Mapa")</f>
        <v>🔗 Ver Mapa</v>
      </c>
    </row>
    <row r="21" spans="1:12" ht="43.5" x14ac:dyDescent="0.35">
      <c r="A21" s="5" t="s">
        <v>2</v>
      </c>
      <c r="B21" s="5" t="s">
        <v>15</v>
      </c>
      <c r="C21" s="5" t="s">
        <v>36</v>
      </c>
      <c r="D21" s="8" t="s">
        <v>62</v>
      </c>
      <c r="E21" s="16" t="s">
        <v>76</v>
      </c>
      <c r="F21" s="16" t="s">
        <v>85</v>
      </c>
      <c r="G21" s="8" t="s">
        <v>102</v>
      </c>
      <c r="H21" s="8" t="s">
        <v>124</v>
      </c>
      <c r="I21" s="16" t="s">
        <v>138</v>
      </c>
      <c r="J21" s="16">
        <v>16.519807</v>
      </c>
      <c r="K21" s="16">
        <v>-96.983885000000001</v>
      </c>
      <c r="L21" s="16" t="str">
        <f>HYPERLINK("https://maps.google.com/?q=16.519807,-96.983885", "🔗 Ver Mapa")</f>
        <v>🔗 Ver Mapa</v>
      </c>
    </row>
    <row r="22" spans="1:12" ht="43.5" x14ac:dyDescent="0.35">
      <c r="A22" s="6" t="s">
        <v>2</v>
      </c>
      <c r="B22" s="6" t="s">
        <v>15</v>
      </c>
      <c r="C22" s="6" t="s">
        <v>36</v>
      </c>
      <c r="D22" s="11" t="s">
        <v>62</v>
      </c>
      <c r="E22" s="17" t="s">
        <v>76</v>
      </c>
      <c r="F22" s="17" t="s">
        <v>85</v>
      </c>
      <c r="G22" s="11" t="s">
        <v>102</v>
      </c>
      <c r="H22" s="11" t="s">
        <v>124</v>
      </c>
      <c r="I22" s="17" t="s">
        <v>138</v>
      </c>
      <c r="J22" s="17">
        <v>16.564243999999999</v>
      </c>
      <c r="K22" s="17">
        <v>-96.731829000000005</v>
      </c>
      <c r="L22" s="17" t="str">
        <f>HYPERLINK("https://maps.google.com/?q=16.564244,-96.731829", "🔗 Ver Mapa")</f>
        <v>🔗 Ver Mapa</v>
      </c>
    </row>
    <row r="23" spans="1:12" ht="43.5" x14ac:dyDescent="0.35">
      <c r="A23" s="5" t="s">
        <v>2</v>
      </c>
      <c r="B23" s="5" t="s">
        <v>15</v>
      </c>
      <c r="C23" s="5" t="s">
        <v>36</v>
      </c>
      <c r="D23" s="8" t="s">
        <v>62</v>
      </c>
      <c r="E23" s="16" t="s">
        <v>76</v>
      </c>
      <c r="F23" s="16" t="s">
        <v>85</v>
      </c>
      <c r="G23" s="8" t="s">
        <v>102</v>
      </c>
      <c r="H23" s="8" t="s">
        <v>124</v>
      </c>
      <c r="I23" s="16" t="s">
        <v>138</v>
      </c>
      <c r="J23" s="16">
        <v>16.791625</v>
      </c>
      <c r="K23" s="16">
        <v>-96.674999</v>
      </c>
      <c r="L23" s="16" t="str">
        <f>HYPERLINK("https://maps.google.com/?q=16.791625,-96.674999", "🔗 Ver Mapa")</f>
        <v>🔗 Ver Mapa</v>
      </c>
    </row>
    <row r="24" spans="1:12" ht="43.5" x14ac:dyDescent="0.35">
      <c r="A24" s="6" t="s">
        <v>2</v>
      </c>
      <c r="B24" s="6" t="s">
        <v>15</v>
      </c>
      <c r="C24" s="6" t="s">
        <v>36</v>
      </c>
      <c r="D24" s="11" t="s">
        <v>62</v>
      </c>
      <c r="E24" s="17" t="s">
        <v>76</v>
      </c>
      <c r="F24" s="17" t="s">
        <v>85</v>
      </c>
      <c r="G24" s="11" t="s">
        <v>102</v>
      </c>
      <c r="H24" s="11" t="s">
        <v>124</v>
      </c>
      <c r="I24" s="17" t="s">
        <v>138</v>
      </c>
      <c r="J24" s="17">
        <v>16.866371000000001</v>
      </c>
      <c r="K24" s="17">
        <v>-96.785623000000001</v>
      </c>
      <c r="L24" s="17" t="str">
        <f>HYPERLINK("https://maps.google.com/?q=16.866371,-96.785623", "🔗 Ver Mapa")</f>
        <v>🔗 Ver Mapa</v>
      </c>
    </row>
    <row r="25" spans="1:12" ht="43.5" x14ac:dyDescent="0.35">
      <c r="A25" s="5" t="s">
        <v>2</v>
      </c>
      <c r="B25" s="5" t="s">
        <v>15</v>
      </c>
      <c r="C25" s="5" t="s">
        <v>36</v>
      </c>
      <c r="D25" s="8" t="s">
        <v>62</v>
      </c>
      <c r="E25" s="16" t="s">
        <v>76</v>
      </c>
      <c r="F25" s="16" t="s">
        <v>85</v>
      </c>
      <c r="G25" s="8" t="s">
        <v>102</v>
      </c>
      <c r="H25" s="8" t="s">
        <v>124</v>
      </c>
      <c r="I25" s="16" t="s">
        <v>138</v>
      </c>
      <c r="J25" s="16">
        <v>16.950706</v>
      </c>
      <c r="K25" s="16">
        <v>-96.750504000000006</v>
      </c>
      <c r="L25" s="16" t="str">
        <f>HYPERLINK("https://maps.google.com/?q=16.950706,-96.750504", "🔗 Ver Mapa")</f>
        <v>🔗 Ver Mapa</v>
      </c>
    </row>
    <row r="26" spans="1:12" ht="43.5" x14ac:dyDescent="0.35">
      <c r="A26" s="6" t="s">
        <v>2</v>
      </c>
      <c r="B26" s="6" t="s">
        <v>15</v>
      </c>
      <c r="C26" s="6" t="s">
        <v>36</v>
      </c>
      <c r="D26" s="11" t="s">
        <v>62</v>
      </c>
      <c r="E26" s="17" t="s">
        <v>76</v>
      </c>
      <c r="F26" s="17" t="s">
        <v>85</v>
      </c>
      <c r="G26" s="11" t="s">
        <v>102</v>
      </c>
      <c r="H26" s="11" t="s">
        <v>124</v>
      </c>
      <c r="I26" s="17" t="s">
        <v>138</v>
      </c>
      <c r="J26" s="17">
        <v>16.955580000000001</v>
      </c>
      <c r="K26" s="17">
        <v>-96.479206000000005</v>
      </c>
      <c r="L26" s="17" t="str">
        <f>HYPERLINK("https://maps.google.com/?q=16.95558,-96.479206", "🔗 Ver Mapa")</f>
        <v>🔗 Ver Mapa</v>
      </c>
    </row>
    <row r="27" spans="1:12" ht="43.5" x14ac:dyDescent="0.35">
      <c r="A27" s="5" t="s">
        <v>2</v>
      </c>
      <c r="B27" s="5" t="s">
        <v>15</v>
      </c>
      <c r="C27" s="5" t="s">
        <v>36</v>
      </c>
      <c r="D27" s="8" t="s">
        <v>62</v>
      </c>
      <c r="E27" s="16" t="s">
        <v>76</v>
      </c>
      <c r="F27" s="16" t="s">
        <v>85</v>
      </c>
      <c r="G27" s="8" t="s">
        <v>102</v>
      </c>
      <c r="H27" s="8" t="s">
        <v>124</v>
      </c>
      <c r="I27" s="16" t="s">
        <v>138</v>
      </c>
      <c r="J27" s="16">
        <v>17.026216000000002</v>
      </c>
      <c r="K27" s="16">
        <v>-97.928115000000005</v>
      </c>
      <c r="L27" s="16" t="str">
        <f>HYPERLINK("https://maps.google.com/?q=17.026216,-97.928115", "🔗 Ver Mapa")</f>
        <v>🔗 Ver Mapa</v>
      </c>
    </row>
    <row r="28" spans="1:12" ht="43.5" x14ac:dyDescent="0.35">
      <c r="A28" s="6" t="s">
        <v>2</v>
      </c>
      <c r="B28" s="6" t="s">
        <v>15</v>
      </c>
      <c r="C28" s="6" t="s">
        <v>36</v>
      </c>
      <c r="D28" s="11" t="s">
        <v>62</v>
      </c>
      <c r="E28" s="17" t="s">
        <v>76</v>
      </c>
      <c r="F28" s="17" t="s">
        <v>85</v>
      </c>
      <c r="G28" s="11" t="s">
        <v>102</v>
      </c>
      <c r="H28" s="11" t="s">
        <v>124</v>
      </c>
      <c r="I28" s="17" t="s">
        <v>138</v>
      </c>
      <c r="J28" s="17">
        <v>17.027131000000001</v>
      </c>
      <c r="K28" s="17">
        <v>-96.077044000000001</v>
      </c>
      <c r="L28" s="17" t="str">
        <f>HYPERLINK("https://maps.google.com/?q=17.027131,-96.077044", "🔗 Ver Mapa")</f>
        <v>🔗 Ver Mapa</v>
      </c>
    </row>
    <row r="29" spans="1:12" ht="43.5" x14ac:dyDescent="0.35">
      <c r="A29" s="5" t="s">
        <v>2</v>
      </c>
      <c r="B29" s="5" t="s">
        <v>15</v>
      </c>
      <c r="C29" s="5" t="s">
        <v>36</v>
      </c>
      <c r="D29" s="8" t="s">
        <v>62</v>
      </c>
      <c r="E29" s="16" t="s">
        <v>76</v>
      </c>
      <c r="F29" s="16" t="s">
        <v>85</v>
      </c>
      <c r="G29" s="8" t="s">
        <v>102</v>
      </c>
      <c r="H29" s="8" t="s">
        <v>124</v>
      </c>
      <c r="I29" s="16" t="s">
        <v>138</v>
      </c>
      <c r="J29" s="16">
        <v>17.063777999999999</v>
      </c>
      <c r="K29" s="16">
        <v>-96.729971000000006</v>
      </c>
      <c r="L29" s="16" t="str">
        <f>HYPERLINK("https://maps.google.com/?q=17.063778,-96.729971", "🔗 Ver Mapa")</f>
        <v>🔗 Ver Mapa</v>
      </c>
    </row>
    <row r="30" spans="1:12" ht="43.5" x14ac:dyDescent="0.35">
      <c r="A30" s="6" t="s">
        <v>2</v>
      </c>
      <c r="B30" s="6" t="s">
        <v>15</v>
      </c>
      <c r="C30" s="6" t="s">
        <v>36</v>
      </c>
      <c r="D30" s="11" t="s">
        <v>62</v>
      </c>
      <c r="E30" s="17" t="s">
        <v>76</v>
      </c>
      <c r="F30" s="17" t="s">
        <v>85</v>
      </c>
      <c r="G30" s="11" t="s">
        <v>102</v>
      </c>
      <c r="H30" s="11" t="s">
        <v>124</v>
      </c>
      <c r="I30" s="17" t="s">
        <v>138</v>
      </c>
      <c r="J30" s="17">
        <v>17.207464000000002</v>
      </c>
      <c r="K30" s="17">
        <v>-96.801094000000006</v>
      </c>
      <c r="L30" s="17" t="str">
        <f>HYPERLINK("https://maps.google.com/?q=17.207464,-96.801094", "🔗 Ver Mapa")</f>
        <v>🔗 Ver Mapa</v>
      </c>
    </row>
    <row r="31" spans="1:12" ht="43.5" x14ac:dyDescent="0.35">
      <c r="A31" s="5" t="s">
        <v>2</v>
      </c>
      <c r="B31" s="5" t="s">
        <v>15</v>
      </c>
      <c r="C31" s="5" t="s">
        <v>36</v>
      </c>
      <c r="D31" s="8" t="s">
        <v>62</v>
      </c>
      <c r="E31" s="16" t="s">
        <v>76</v>
      </c>
      <c r="F31" s="16" t="s">
        <v>85</v>
      </c>
      <c r="G31" s="8" t="s">
        <v>102</v>
      </c>
      <c r="H31" s="8" t="s">
        <v>124</v>
      </c>
      <c r="I31" s="16" t="s">
        <v>138</v>
      </c>
      <c r="J31" s="16">
        <v>17.267448999999999</v>
      </c>
      <c r="K31" s="16">
        <v>-97.680485000000004</v>
      </c>
      <c r="L31" s="16" t="str">
        <f>HYPERLINK("https://maps.google.com/?q=17.267449,-97.680485", "🔗 Ver Mapa")</f>
        <v>🔗 Ver Mapa</v>
      </c>
    </row>
    <row r="32" spans="1:12" ht="43.5" x14ac:dyDescent="0.35">
      <c r="A32" s="6" t="s">
        <v>2</v>
      </c>
      <c r="B32" s="6" t="s">
        <v>15</v>
      </c>
      <c r="C32" s="6" t="s">
        <v>36</v>
      </c>
      <c r="D32" s="11" t="s">
        <v>62</v>
      </c>
      <c r="E32" s="17" t="s">
        <v>76</v>
      </c>
      <c r="F32" s="17" t="s">
        <v>85</v>
      </c>
      <c r="G32" s="11" t="s">
        <v>102</v>
      </c>
      <c r="H32" s="11" t="s">
        <v>124</v>
      </c>
      <c r="I32" s="17" t="s">
        <v>138</v>
      </c>
      <c r="J32" s="17">
        <v>17.331247999999999</v>
      </c>
      <c r="K32" s="17">
        <v>-96.487900999999994</v>
      </c>
      <c r="L32" s="17" t="str">
        <f>HYPERLINK("https://maps.google.com/?q=17.331248,-96.487901", "🔗 Ver Mapa")</f>
        <v>🔗 Ver Mapa</v>
      </c>
    </row>
    <row r="33" spans="1:12" ht="43.5" x14ac:dyDescent="0.35">
      <c r="A33" s="5" t="s">
        <v>2</v>
      </c>
      <c r="B33" s="5" t="s">
        <v>15</v>
      </c>
      <c r="C33" s="5" t="s">
        <v>36</v>
      </c>
      <c r="D33" s="8" t="s">
        <v>62</v>
      </c>
      <c r="E33" s="16" t="s">
        <v>76</v>
      </c>
      <c r="F33" s="16" t="s">
        <v>85</v>
      </c>
      <c r="G33" s="8" t="s">
        <v>102</v>
      </c>
      <c r="H33" s="8" t="s">
        <v>124</v>
      </c>
      <c r="I33" s="16" t="s">
        <v>138</v>
      </c>
      <c r="J33" s="16">
        <v>17.335315999999999</v>
      </c>
      <c r="K33" s="16">
        <v>-98.012051</v>
      </c>
      <c r="L33" s="16" t="str">
        <f>HYPERLINK("https://maps.google.com/?q=17.335316,-98.012051", "🔗 Ver Mapa")</f>
        <v>🔗 Ver Mapa</v>
      </c>
    </row>
    <row r="34" spans="1:12" ht="43.5" x14ac:dyDescent="0.35">
      <c r="A34" s="6" t="s">
        <v>2</v>
      </c>
      <c r="B34" s="6" t="s">
        <v>15</v>
      </c>
      <c r="C34" s="6" t="s">
        <v>36</v>
      </c>
      <c r="D34" s="11" t="s">
        <v>62</v>
      </c>
      <c r="E34" s="17" t="s">
        <v>76</v>
      </c>
      <c r="F34" s="17" t="s">
        <v>85</v>
      </c>
      <c r="G34" s="11" t="s">
        <v>102</v>
      </c>
      <c r="H34" s="11" t="s">
        <v>124</v>
      </c>
      <c r="I34" s="17" t="s">
        <v>138</v>
      </c>
      <c r="J34" s="17">
        <v>17.338730000000002</v>
      </c>
      <c r="K34" s="17">
        <v>-96.152553999999995</v>
      </c>
      <c r="L34" s="17" t="str">
        <f>HYPERLINK("https://maps.google.com/?q=17.33873,-96.152554", "🔗 Ver Mapa")</f>
        <v>🔗 Ver Mapa</v>
      </c>
    </row>
    <row r="35" spans="1:12" ht="43.5" x14ac:dyDescent="0.35">
      <c r="A35" s="5" t="s">
        <v>2</v>
      </c>
      <c r="B35" s="5" t="s">
        <v>15</v>
      </c>
      <c r="C35" s="5" t="s">
        <v>36</v>
      </c>
      <c r="D35" s="8" t="s">
        <v>62</v>
      </c>
      <c r="E35" s="16" t="s">
        <v>76</v>
      </c>
      <c r="F35" s="16" t="s">
        <v>85</v>
      </c>
      <c r="G35" s="8" t="s">
        <v>102</v>
      </c>
      <c r="H35" s="8" t="s">
        <v>124</v>
      </c>
      <c r="I35" s="16" t="s">
        <v>138</v>
      </c>
      <c r="J35" s="16">
        <v>17.361765999999999</v>
      </c>
      <c r="K35" s="16">
        <v>-95.922253999999995</v>
      </c>
      <c r="L35" s="16" t="str">
        <f>HYPERLINK("https://maps.google.com/?q=17.361766,-95.922254", "🔗 Ver Mapa")</f>
        <v>🔗 Ver Mapa</v>
      </c>
    </row>
    <row r="36" spans="1:12" ht="43.5" x14ac:dyDescent="0.35">
      <c r="A36" s="6" t="s">
        <v>2</v>
      </c>
      <c r="B36" s="6" t="s">
        <v>15</v>
      </c>
      <c r="C36" s="6" t="s">
        <v>36</v>
      </c>
      <c r="D36" s="11" t="s">
        <v>62</v>
      </c>
      <c r="E36" s="17" t="s">
        <v>76</v>
      </c>
      <c r="F36" s="17" t="s">
        <v>85</v>
      </c>
      <c r="G36" s="11" t="s">
        <v>102</v>
      </c>
      <c r="H36" s="11" t="s">
        <v>124</v>
      </c>
      <c r="I36" s="17" t="s">
        <v>138</v>
      </c>
      <c r="J36" s="17">
        <v>17.458341000000001</v>
      </c>
      <c r="K36" s="17">
        <v>-97.225285</v>
      </c>
      <c r="L36" s="17" t="str">
        <f>HYPERLINK("https://maps.google.com/?q=17.458341,-97.225285", "🔗 Ver Mapa")</f>
        <v>🔗 Ver Mapa</v>
      </c>
    </row>
    <row r="37" spans="1:12" ht="43.5" x14ac:dyDescent="0.35">
      <c r="A37" s="5" t="s">
        <v>2</v>
      </c>
      <c r="B37" s="5" t="s">
        <v>15</v>
      </c>
      <c r="C37" s="5" t="s">
        <v>36</v>
      </c>
      <c r="D37" s="8" t="s">
        <v>62</v>
      </c>
      <c r="E37" s="16" t="s">
        <v>76</v>
      </c>
      <c r="F37" s="16" t="s">
        <v>85</v>
      </c>
      <c r="G37" s="8" t="s">
        <v>102</v>
      </c>
      <c r="H37" s="8" t="s">
        <v>124</v>
      </c>
      <c r="I37" s="16" t="s">
        <v>138</v>
      </c>
      <c r="J37" s="16">
        <v>17.501442000000001</v>
      </c>
      <c r="K37" s="16">
        <v>-98.142583999999999</v>
      </c>
      <c r="L37" s="16" t="str">
        <f>HYPERLINK("https://maps.google.com/?q=17.501442,-98.142584", "🔗 Ver Mapa")</f>
        <v>🔗 Ver Mapa</v>
      </c>
    </row>
    <row r="38" spans="1:12" ht="43.5" x14ac:dyDescent="0.35">
      <c r="A38" s="6" t="s">
        <v>2</v>
      </c>
      <c r="B38" s="6" t="s">
        <v>15</v>
      </c>
      <c r="C38" s="6" t="s">
        <v>36</v>
      </c>
      <c r="D38" s="11" t="s">
        <v>62</v>
      </c>
      <c r="E38" s="17" t="s">
        <v>76</v>
      </c>
      <c r="F38" s="17" t="s">
        <v>85</v>
      </c>
      <c r="G38" s="11" t="s">
        <v>102</v>
      </c>
      <c r="H38" s="11" t="s">
        <v>124</v>
      </c>
      <c r="I38" s="17" t="s">
        <v>138</v>
      </c>
      <c r="J38" s="17">
        <v>17.511838000000001</v>
      </c>
      <c r="K38" s="17">
        <v>-97.488547999999994</v>
      </c>
      <c r="L38" s="17" t="str">
        <f>HYPERLINK("https://maps.google.com/?q=17.511838,-97.488548", "🔗 Ver Mapa")</f>
        <v>🔗 Ver Mapa</v>
      </c>
    </row>
    <row r="39" spans="1:12" ht="43.5" x14ac:dyDescent="0.35">
      <c r="A39" s="5" t="s">
        <v>2</v>
      </c>
      <c r="B39" s="5" t="s">
        <v>15</v>
      </c>
      <c r="C39" s="5" t="s">
        <v>36</v>
      </c>
      <c r="D39" s="8" t="s">
        <v>62</v>
      </c>
      <c r="E39" s="16" t="s">
        <v>76</v>
      </c>
      <c r="F39" s="16" t="s">
        <v>85</v>
      </c>
      <c r="G39" s="8" t="s">
        <v>102</v>
      </c>
      <c r="H39" s="8" t="s">
        <v>124</v>
      </c>
      <c r="I39" s="16" t="s">
        <v>138</v>
      </c>
      <c r="J39" s="16">
        <v>17.724615</v>
      </c>
      <c r="K39" s="16">
        <v>-97.323898</v>
      </c>
      <c r="L39" s="16" t="str">
        <f>HYPERLINK("https://maps.google.com/?q=17.724615,-97.323898", "🔗 Ver Mapa")</f>
        <v>🔗 Ver Mapa</v>
      </c>
    </row>
    <row r="40" spans="1:12" ht="43.5" x14ac:dyDescent="0.35">
      <c r="A40" s="6" t="s">
        <v>2</v>
      </c>
      <c r="B40" s="6" t="s">
        <v>15</v>
      </c>
      <c r="C40" s="6" t="s">
        <v>36</v>
      </c>
      <c r="D40" s="11" t="s">
        <v>62</v>
      </c>
      <c r="E40" s="17" t="s">
        <v>76</v>
      </c>
      <c r="F40" s="17" t="s">
        <v>85</v>
      </c>
      <c r="G40" s="11" t="s">
        <v>102</v>
      </c>
      <c r="H40" s="11" t="s">
        <v>124</v>
      </c>
      <c r="I40" s="17" t="s">
        <v>138</v>
      </c>
      <c r="J40" s="17">
        <v>17.801687000000001</v>
      </c>
      <c r="K40" s="17">
        <v>-96.959688</v>
      </c>
      <c r="L40" s="17" t="str">
        <f>HYPERLINK("https://maps.google.com/?q=17.801687,-96.959688", "🔗 Ver Mapa")</f>
        <v>🔗 Ver Mapa</v>
      </c>
    </row>
    <row r="41" spans="1:12" ht="43.5" x14ac:dyDescent="0.35">
      <c r="A41" s="5" t="s">
        <v>2</v>
      </c>
      <c r="B41" s="5" t="s">
        <v>15</v>
      </c>
      <c r="C41" s="5" t="s">
        <v>36</v>
      </c>
      <c r="D41" s="8" t="s">
        <v>62</v>
      </c>
      <c r="E41" s="16" t="s">
        <v>76</v>
      </c>
      <c r="F41" s="16" t="s">
        <v>85</v>
      </c>
      <c r="G41" s="8" t="s">
        <v>102</v>
      </c>
      <c r="H41" s="8" t="s">
        <v>124</v>
      </c>
      <c r="I41" s="16" t="s">
        <v>138</v>
      </c>
      <c r="J41" s="16">
        <v>17.806621</v>
      </c>
      <c r="K41" s="16">
        <v>-97.776161999999999</v>
      </c>
      <c r="L41" s="16" t="str">
        <f>HYPERLINK("https://maps.google.com/?q=17.806621,-97.776162", "🔗 Ver Mapa")</f>
        <v>🔗 Ver Mapa</v>
      </c>
    </row>
    <row r="42" spans="1:12" ht="43.5" x14ac:dyDescent="0.35">
      <c r="A42" s="6" t="s">
        <v>2</v>
      </c>
      <c r="B42" s="6" t="s">
        <v>15</v>
      </c>
      <c r="C42" s="6" t="s">
        <v>36</v>
      </c>
      <c r="D42" s="11" t="s">
        <v>62</v>
      </c>
      <c r="E42" s="17" t="s">
        <v>76</v>
      </c>
      <c r="F42" s="17" t="s">
        <v>85</v>
      </c>
      <c r="G42" s="11" t="s">
        <v>102</v>
      </c>
      <c r="H42" s="11" t="s">
        <v>124</v>
      </c>
      <c r="I42" s="17" t="s">
        <v>138</v>
      </c>
      <c r="J42" s="17">
        <v>18.081168999999999</v>
      </c>
      <c r="K42" s="17">
        <v>-96.118475000000004</v>
      </c>
      <c r="L42" s="17" t="str">
        <f>HYPERLINK("https://maps.google.com/?q=18.081169,-96.118475", "🔗 Ver Mapa")</f>
        <v>🔗 Ver Mapa</v>
      </c>
    </row>
    <row r="43" spans="1:12" ht="43.5" x14ac:dyDescent="0.35">
      <c r="A43" s="5" t="s">
        <v>2</v>
      </c>
      <c r="B43" s="5" t="s">
        <v>15</v>
      </c>
      <c r="C43" s="5" t="s">
        <v>36</v>
      </c>
      <c r="D43" s="8" t="s">
        <v>62</v>
      </c>
      <c r="E43" s="16" t="s">
        <v>76</v>
      </c>
      <c r="F43" s="16" t="s">
        <v>85</v>
      </c>
      <c r="G43" s="8" t="s">
        <v>102</v>
      </c>
      <c r="H43" s="8" t="s">
        <v>124</v>
      </c>
      <c r="I43" s="16" t="s">
        <v>138</v>
      </c>
      <c r="J43" s="16">
        <v>18.13222</v>
      </c>
      <c r="K43" s="16">
        <v>-97.070751000000001</v>
      </c>
      <c r="L43" s="16" t="str">
        <f>HYPERLINK("https://maps.google.com/?q=18.13222,-97.070751", "🔗 Ver Mapa")</f>
        <v>🔗 Ver Mapa</v>
      </c>
    </row>
    <row r="44" spans="1:12" ht="29" x14ac:dyDescent="0.35">
      <c r="A44" s="6" t="s">
        <v>3</v>
      </c>
      <c r="B44" s="6" t="s">
        <v>16</v>
      </c>
      <c r="C44" s="6" t="s">
        <v>37</v>
      </c>
      <c r="D44" s="11" t="s">
        <v>63</v>
      </c>
      <c r="E44" s="17" t="s">
        <v>75</v>
      </c>
      <c r="F44" s="17" t="s">
        <v>86</v>
      </c>
      <c r="G44" s="11" t="s">
        <v>103</v>
      </c>
      <c r="H44" s="11" t="s">
        <v>125</v>
      </c>
      <c r="I44" s="17" t="s">
        <v>138</v>
      </c>
      <c r="J44" s="17">
        <v>17.0820483</v>
      </c>
      <c r="K44" s="17">
        <v>-96.718172699999997</v>
      </c>
      <c r="L44" s="17" t="str">
        <f>HYPERLINK("https://maps.google.com/?q=17.0820483,-96.7181727", "🔗 Ver Mapa")</f>
        <v>🔗 Ver Mapa</v>
      </c>
    </row>
    <row r="45" spans="1:12" ht="29" x14ac:dyDescent="0.35">
      <c r="A45" s="5" t="s">
        <v>3</v>
      </c>
      <c r="B45" s="5" t="s">
        <v>16</v>
      </c>
      <c r="C45" s="5" t="s">
        <v>38</v>
      </c>
      <c r="D45" s="8" t="s">
        <v>63</v>
      </c>
      <c r="E45" s="16" t="s">
        <v>75</v>
      </c>
      <c r="F45" s="16" t="s">
        <v>86</v>
      </c>
      <c r="G45" s="8" t="s">
        <v>103</v>
      </c>
      <c r="H45" s="8" t="s">
        <v>125</v>
      </c>
      <c r="I45" s="16" t="s">
        <v>138</v>
      </c>
      <c r="J45" s="16">
        <v>17.078218431027</v>
      </c>
      <c r="K45" s="16">
        <v>-96.711311178989007</v>
      </c>
      <c r="L45" s="16" t="str">
        <f>HYPERLINK("https://maps.google.com/?q=17.078218431027,-96.711311178989", "🔗 Ver Mapa")</f>
        <v>🔗 Ver Mapa</v>
      </c>
    </row>
    <row r="46" spans="1:12" ht="43.5" x14ac:dyDescent="0.35">
      <c r="A46" s="6" t="s">
        <v>4</v>
      </c>
      <c r="B46" s="6" t="s">
        <v>17</v>
      </c>
      <c r="C46" s="6" t="s">
        <v>39</v>
      </c>
      <c r="D46" s="11" t="s">
        <v>64</v>
      </c>
      <c r="E46" s="17" t="s">
        <v>75</v>
      </c>
      <c r="F46" s="17" t="s">
        <v>86</v>
      </c>
      <c r="G46" s="11" t="s">
        <v>104</v>
      </c>
      <c r="H46" s="11" t="s">
        <v>126</v>
      </c>
      <c r="I46" s="17" t="s">
        <v>138</v>
      </c>
      <c r="J46" s="17">
        <v>15.8647539</v>
      </c>
      <c r="K46" s="17">
        <v>-97.071228700000006</v>
      </c>
      <c r="L46" s="17" t="str">
        <f>HYPERLINK("https://maps.google.com/?q=15.8647539,-97.0712287", "🔗 Ver Mapa")</f>
        <v>🔗 Ver Mapa</v>
      </c>
    </row>
    <row r="47" spans="1:12" ht="43.5" x14ac:dyDescent="0.35">
      <c r="A47" s="5" t="s">
        <v>4</v>
      </c>
      <c r="B47" s="5" t="s">
        <v>17</v>
      </c>
      <c r="C47" s="5" t="s">
        <v>39</v>
      </c>
      <c r="D47" s="8" t="s">
        <v>64</v>
      </c>
      <c r="E47" s="16" t="s">
        <v>75</v>
      </c>
      <c r="F47" s="16" t="s">
        <v>86</v>
      </c>
      <c r="G47" s="8" t="s">
        <v>104</v>
      </c>
      <c r="H47" s="8" t="s">
        <v>126</v>
      </c>
      <c r="I47" s="16" t="s">
        <v>138</v>
      </c>
      <c r="J47" s="16">
        <v>16.175305999999999</v>
      </c>
      <c r="K47" s="16">
        <v>-95.192499999999995</v>
      </c>
      <c r="L47" s="16" t="str">
        <f>HYPERLINK("https://maps.google.com/?q=16.175306,-95.1925", "🔗 Ver Mapa")</f>
        <v>🔗 Ver Mapa</v>
      </c>
    </row>
    <row r="48" spans="1:12" ht="43.5" x14ac:dyDescent="0.35">
      <c r="A48" s="6" t="s">
        <v>4</v>
      </c>
      <c r="B48" s="6" t="s">
        <v>17</v>
      </c>
      <c r="C48" s="6" t="s">
        <v>39</v>
      </c>
      <c r="D48" s="11" t="s">
        <v>64</v>
      </c>
      <c r="E48" s="17" t="s">
        <v>75</v>
      </c>
      <c r="F48" s="17" t="s">
        <v>86</v>
      </c>
      <c r="G48" s="11" t="s">
        <v>104</v>
      </c>
      <c r="H48" s="11" t="s">
        <v>126</v>
      </c>
      <c r="I48" s="17" t="s">
        <v>138</v>
      </c>
      <c r="J48" s="17">
        <v>16.331244000000002</v>
      </c>
      <c r="K48" s="17">
        <v>-95.231062199999997</v>
      </c>
      <c r="L48" s="17" t="str">
        <f>HYPERLINK("https://maps.google.com/?q=16.331244,-95.2310622", "🔗 Ver Mapa")</f>
        <v>🔗 Ver Mapa</v>
      </c>
    </row>
    <row r="49" spans="1:12" ht="43.5" x14ac:dyDescent="0.35">
      <c r="A49" s="5" t="s">
        <v>4</v>
      </c>
      <c r="B49" s="5" t="s">
        <v>17</v>
      </c>
      <c r="C49" s="5" t="s">
        <v>39</v>
      </c>
      <c r="D49" s="8" t="s">
        <v>64</v>
      </c>
      <c r="E49" s="16" t="s">
        <v>75</v>
      </c>
      <c r="F49" s="16" t="s">
        <v>86</v>
      </c>
      <c r="G49" s="8" t="s">
        <v>104</v>
      </c>
      <c r="H49" s="8" t="s">
        <v>126</v>
      </c>
      <c r="I49" s="16" t="s">
        <v>138</v>
      </c>
      <c r="J49" s="16">
        <v>16.341521700000001</v>
      </c>
      <c r="K49" s="16">
        <v>-98.051387899999995</v>
      </c>
      <c r="L49" s="16" t="str">
        <f>HYPERLINK("https://maps.google.com/?q=16.3415217,-98.0513879", "🔗 Ver Mapa")</f>
        <v>🔗 Ver Mapa</v>
      </c>
    </row>
    <row r="50" spans="1:12" ht="43.5" x14ac:dyDescent="0.35">
      <c r="A50" s="6" t="s">
        <v>4</v>
      </c>
      <c r="B50" s="6" t="s">
        <v>17</v>
      </c>
      <c r="C50" s="6" t="s">
        <v>39</v>
      </c>
      <c r="D50" s="11" t="s">
        <v>64</v>
      </c>
      <c r="E50" s="17" t="s">
        <v>75</v>
      </c>
      <c r="F50" s="17" t="s">
        <v>86</v>
      </c>
      <c r="G50" s="11" t="s">
        <v>104</v>
      </c>
      <c r="H50" s="11" t="s">
        <v>126</v>
      </c>
      <c r="I50" s="17" t="s">
        <v>138</v>
      </c>
      <c r="J50" s="17">
        <v>16.438627199999999</v>
      </c>
      <c r="K50" s="17">
        <v>-95.0223297</v>
      </c>
      <c r="L50" s="17" t="str">
        <f>HYPERLINK("https://maps.google.com/?q=16.4386272,-95.0223297", "🔗 Ver Mapa")</f>
        <v>🔗 Ver Mapa</v>
      </c>
    </row>
    <row r="51" spans="1:12" ht="43.5" x14ac:dyDescent="0.35">
      <c r="A51" s="5" t="s">
        <v>4</v>
      </c>
      <c r="B51" s="5" t="s">
        <v>17</v>
      </c>
      <c r="C51" s="5" t="s">
        <v>39</v>
      </c>
      <c r="D51" s="8" t="s">
        <v>64</v>
      </c>
      <c r="E51" s="16" t="s">
        <v>75</v>
      </c>
      <c r="F51" s="16" t="s">
        <v>86</v>
      </c>
      <c r="G51" s="8" t="s">
        <v>104</v>
      </c>
      <c r="H51" s="8" t="s">
        <v>126</v>
      </c>
      <c r="I51" s="16" t="s">
        <v>138</v>
      </c>
      <c r="J51" s="16">
        <v>16.479555999999999</v>
      </c>
      <c r="K51" s="16">
        <v>-94.355279999999993</v>
      </c>
      <c r="L51" s="16" t="str">
        <f>HYPERLINK("https://maps.google.com/?q=16.479556,-94.35528", "🔗 Ver Mapa")</f>
        <v>🔗 Ver Mapa</v>
      </c>
    </row>
    <row r="52" spans="1:12" ht="43.5" x14ac:dyDescent="0.35">
      <c r="A52" s="6" t="s">
        <v>4</v>
      </c>
      <c r="B52" s="6" t="s">
        <v>17</v>
      </c>
      <c r="C52" s="6" t="s">
        <v>39</v>
      </c>
      <c r="D52" s="11" t="s">
        <v>64</v>
      </c>
      <c r="E52" s="17" t="s">
        <v>75</v>
      </c>
      <c r="F52" s="17" t="s">
        <v>86</v>
      </c>
      <c r="G52" s="11" t="s">
        <v>104</v>
      </c>
      <c r="H52" s="11" t="s">
        <v>126</v>
      </c>
      <c r="I52" s="17" t="s">
        <v>138</v>
      </c>
      <c r="J52" s="17">
        <v>16.485361000000001</v>
      </c>
      <c r="K52" s="17">
        <v>-95.042028000000002</v>
      </c>
      <c r="L52" s="17" t="str">
        <f>HYPERLINK("https://maps.google.com/?q=16.485361,-95.042028", "🔗 Ver Mapa")</f>
        <v>🔗 Ver Mapa</v>
      </c>
    </row>
    <row r="53" spans="1:12" ht="43.5" x14ac:dyDescent="0.35">
      <c r="A53" s="5" t="s">
        <v>4</v>
      </c>
      <c r="B53" s="5" t="s">
        <v>17</v>
      </c>
      <c r="C53" s="5" t="s">
        <v>39</v>
      </c>
      <c r="D53" s="8" t="s">
        <v>64</v>
      </c>
      <c r="E53" s="16" t="s">
        <v>75</v>
      </c>
      <c r="F53" s="16" t="s">
        <v>86</v>
      </c>
      <c r="G53" s="8" t="s">
        <v>104</v>
      </c>
      <c r="H53" s="8" t="s">
        <v>126</v>
      </c>
      <c r="I53" s="16" t="s">
        <v>138</v>
      </c>
      <c r="J53" s="16">
        <v>16.506388999999999</v>
      </c>
      <c r="K53" s="16">
        <v>-95.058999999999997</v>
      </c>
      <c r="L53" s="16" t="str">
        <f>HYPERLINK("https://maps.google.com/?q=16.506389,-95.059", "🔗 Ver Mapa")</f>
        <v>🔗 Ver Mapa</v>
      </c>
    </row>
    <row r="54" spans="1:12" ht="43.5" x14ac:dyDescent="0.35">
      <c r="A54" s="6" t="s">
        <v>4</v>
      </c>
      <c r="B54" s="6" t="s">
        <v>17</v>
      </c>
      <c r="C54" s="6" t="s">
        <v>39</v>
      </c>
      <c r="D54" s="11" t="s">
        <v>64</v>
      </c>
      <c r="E54" s="17" t="s">
        <v>75</v>
      </c>
      <c r="F54" s="17" t="s">
        <v>86</v>
      </c>
      <c r="G54" s="11" t="s">
        <v>104</v>
      </c>
      <c r="H54" s="11" t="s">
        <v>126</v>
      </c>
      <c r="I54" s="17" t="s">
        <v>138</v>
      </c>
      <c r="J54" s="17">
        <v>16.557707099999998</v>
      </c>
      <c r="K54" s="17">
        <v>-95.097630499999994</v>
      </c>
      <c r="L54" s="17" t="str">
        <f>HYPERLINK("https://maps.google.com/?q=16.5577071,-95.0976305", "🔗 Ver Mapa")</f>
        <v>🔗 Ver Mapa</v>
      </c>
    </row>
    <row r="55" spans="1:12" ht="43.5" x14ac:dyDescent="0.35">
      <c r="A55" s="5" t="s">
        <v>4</v>
      </c>
      <c r="B55" s="5" t="s">
        <v>17</v>
      </c>
      <c r="C55" s="5" t="s">
        <v>39</v>
      </c>
      <c r="D55" s="8" t="s">
        <v>64</v>
      </c>
      <c r="E55" s="16" t="s">
        <v>75</v>
      </c>
      <c r="F55" s="16" t="s">
        <v>86</v>
      </c>
      <c r="G55" s="8" t="s">
        <v>104</v>
      </c>
      <c r="H55" s="8" t="s">
        <v>126</v>
      </c>
      <c r="I55" s="16" t="s">
        <v>138</v>
      </c>
      <c r="J55" s="16">
        <v>16.8766286</v>
      </c>
      <c r="K55" s="16">
        <v>-95.041228200000006</v>
      </c>
      <c r="L55" s="16" t="str">
        <f>HYPERLINK("https://maps.google.com/?q=16.8766286,-95.0412282", "🔗 Ver Mapa")</f>
        <v>🔗 Ver Mapa</v>
      </c>
    </row>
    <row r="56" spans="1:12" ht="43.5" x14ac:dyDescent="0.35">
      <c r="A56" s="6" t="s">
        <v>4</v>
      </c>
      <c r="B56" s="6" t="s">
        <v>17</v>
      </c>
      <c r="C56" s="6" t="s">
        <v>39</v>
      </c>
      <c r="D56" s="11" t="s">
        <v>64</v>
      </c>
      <c r="E56" s="17" t="s">
        <v>75</v>
      </c>
      <c r="F56" s="17" t="s">
        <v>86</v>
      </c>
      <c r="G56" s="11" t="s">
        <v>104</v>
      </c>
      <c r="H56" s="11" t="s">
        <v>126</v>
      </c>
      <c r="I56" s="17" t="s">
        <v>138</v>
      </c>
      <c r="J56" s="17">
        <v>16.90972</v>
      </c>
      <c r="K56" s="17">
        <v>-96.721080000000001</v>
      </c>
      <c r="L56" s="17" t="str">
        <f>HYPERLINK("https://maps.google.com/?q=16.90972,-96.72108", "🔗 Ver Mapa")</f>
        <v>🔗 Ver Mapa</v>
      </c>
    </row>
    <row r="57" spans="1:12" ht="43.5" x14ac:dyDescent="0.35">
      <c r="A57" s="5" t="s">
        <v>4</v>
      </c>
      <c r="B57" s="5" t="s">
        <v>17</v>
      </c>
      <c r="C57" s="5" t="s">
        <v>39</v>
      </c>
      <c r="D57" s="8" t="s">
        <v>64</v>
      </c>
      <c r="E57" s="16" t="s">
        <v>75</v>
      </c>
      <c r="F57" s="16" t="s">
        <v>86</v>
      </c>
      <c r="G57" s="8" t="s">
        <v>104</v>
      </c>
      <c r="H57" s="8" t="s">
        <v>126</v>
      </c>
      <c r="I57" s="16" t="s">
        <v>138</v>
      </c>
      <c r="J57" s="16">
        <v>17.026395999999998</v>
      </c>
      <c r="K57" s="16">
        <v>-96.774079999999998</v>
      </c>
      <c r="L57" s="16" t="str">
        <f>HYPERLINK("https://maps.google.com/?q=17.026396,-96.77408", "🔗 Ver Mapa")</f>
        <v>🔗 Ver Mapa</v>
      </c>
    </row>
    <row r="58" spans="1:12" ht="43.5" x14ac:dyDescent="0.35">
      <c r="A58" s="6" t="s">
        <v>4</v>
      </c>
      <c r="B58" s="6" t="s">
        <v>17</v>
      </c>
      <c r="C58" s="6" t="s">
        <v>39</v>
      </c>
      <c r="D58" s="11" t="s">
        <v>64</v>
      </c>
      <c r="E58" s="17" t="s">
        <v>75</v>
      </c>
      <c r="F58" s="17" t="s">
        <v>86</v>
      </c>
      <c r="G58" s="11" t="s">
        <v>104</v>
      </c>
      <c r="H58" s="11" t="s">
        <v>126</v>
      </c>
      <c r="I58" s="17" t="s">
        <v>138</v>
      </c>
      <c r="J58" s="17">
        <v>17.050018999999999</v>
      </c>
      <c r="K58" s="17">
        <v>-96.626028000000005</v>
      </c>
      <c r="L58" s="17" t="str">
        <f>HYPERLINK("https://maps.google.com/?q=17.050019,-96.626028", "🔗 Ver Mapa")</f>
        <v>🔗 Ver Mapa</v>
      </c>
    </row>
    <row r="59" spans="1:12" ht="43.5" x14ac:dyDescent="0.35">
      <c r="A59" s="5" t="s">
        <v>4</v>
      </c>
      <c r="B59" s="5" t="s">
        <v>17</v>
      </c>
      <c r="C59" s="5" t="s">
        <v>39</v>
      </c>
      <c r="D59" s="8" t="s">
        <v>64</v>
      </c>
      <c r="E59" s="16" t="s">
        <v>75</v>
      </c>
      <c r="F59" s="16" t="s">
        <v>86</v>
      </c>
      <c r="G59" s="8" t="s">
        <v>104</v>
      </c>
      <c r="H59" s="8" t="s">
        <v>126</v>
      </c>
      <c r="I59" s="16" t="s">
        <v>138</v>
      </c>
      <c r="J59" s="16">
        <v>17.056806000000002</v>
      </c>
      <c r="K59" s="16">
        <v>-96.683833000000007</v>
      </c>
      <c r="L59" s="16" t="str">
        <f>HYPERLINK("https://maps.google.com/?q=17.056806,-96.683833", "🔗 Ver Mapa")</f>
        <v>🔗 Ver Mapa</v>
      </c>
    </row>
    <row r="60" spans="1:12" ht="43.5" x14ac:dyDescent="0.35">
      <c r="A60" s="6" t="s">
        <v>4</v>
      </c>
      <c r="B60" s="6" t="s">
        <v>17</v>
      </c>
      <c r="C60" s="6" t="s">
        <v>39</v>
      </c>
      <c r="D60" s="11" t="s">
        <v>64</v>
      </c>
      <c r="E60" s="17" t="s">
        <v>75</v>
      </c>
      <c r="F60" s="17" t="s">
        <v>86</v>
      </c>
      <c r="G60" s="11" t="s">
        <v>104</v>
      </c>
      <c r="H60" s="11" t="s">
        <v>126</v>
      </c>
      <c r="I60" s="17" t="s">
        <v>138</v>
      </c>
      <c r="J60" s="17">
        <v>17.125</v>
      </c>
      <c r="K60" s="17">
        <v>-96.775000000000006</v>
      </c>
      <c r="L60" s="17" t="str">
        <f>HYPERLINK("https://maps.google.com/?q=17.125,-96.775", "🔗 Ver Mapa")</f>
        <v>🔗 Ver Mapa</v>
      </c>
    </row>
    <row r="61" spans="1:12" ht="43.5" x14ac:dyDescent="0.35">
      <c r="A61" s="5" t="s">
        <v>1</v>
      </c>
      <c r="B61" s="5" t="s">
        <v>14</v>
      </c>
      <c r="C61" s="5" t="s">
        <v>40</v>
      </c>
      <c r="D61" s="8" t="s">
        <v>61</v>
      </c>
      <c r="E61" s="16" t="s">
        <v>75</v>
      </c>
      <c r="F61" s="16" t="s">
        <v>87</v>
      </c>
      <c r="G61" s="8" t="s">
        <v>105</v>
      </c>
      <c r="H61" s="8" t="s">
        <v>127</v>
      </c>
      <c r="I61" s="16" t="s">
        <v>138</v>
      </c>
      <c r="J61" s="16">
        <v>17.246139732993001</v>
      </c>
      <c r="K61" s="16">
        <v>-96.888437171942996</v>
      </c>
      <c r="L61" s="16" t="str">
        <f>HYPERLINK("https://maps.google.com/?q=17.246139732993,-96.888437171943", "🔗 Ver Mapa")</f>
        <v>🔗 Ver Mapa</v>
      </c>
    </row>
    <row r="62" spans="1:12" ht="43.5" x14ac:dyDescent="0.35">
      <c r="A62" s="6" t="s">
        <v>1</v>
      </c>
      <c r="B62" s="6" t="s">
        <v>14</v>
      </c>
      <c r="C62" s="6" t="s">
        <v>40</v>
      </c>
      <c r="D62" s="11" t="s">
        <v>61</v>
      </c>
      <c r="E62" s="17" t="s">
        <v>75</v>
      </c>
      <c r="F62" s="17" t="s">
        <v>87</v>
      </c>
      <c r="G62" s="11" t="s">
        <v>105</v>
      </c>
      <c r="H62" s="11" t="s">
        <v>127</v>
      </c>
      <c r="I62" s="17" t="s">
        <v>138</v>
      </c>
      <c r="J62" s="17">
        <v>17.246139732993001</v>
      </c>
      <c r="K62" s="17">
        <v>-96.888437171942996</v>
      </c>
      <c r="L62" s="17" t="str">
        <f>HYPERLINK("https://maps.google.com/?q=17.246139732993,-96.888437171943", "🔗 Ver Mapa")</f>
        <v>🔗 Ver Mapa</v>
      </c>
    </row>
    <row r="63" spans="1:12" ht="43.5" x14ac:dyDescent="0.35">
      <c r="A63" s="5" t="s">
        <v>1</v>
      </c>
      <c r="B63" s="5" t="s">
        <v>14</v>
      </c>
      <c r="C63" s="5" t="s">
        <v>40</v>
      </c>
      <c r="D63" s="8" t="s">
        <v>61</v>
      </c>
      <c r="E63" s="16" t="s">
        <v>75</v>
      </c>
      <c r="F63" s="16" t="s">
        <v>87</v>
      </c>
      <c r="G63" s="8" t="s">
        <v>105</v>
      </c>
      <c r="H63" s="8" t="s">
        <v>127</v>
      </c>
      <c r="I63" s="16" t="s">
        <v>138</v>
      </c>
      <c r="J63" s="16">
        <v>17.246139732993001</v>
      </c>
      <c r="K63" s="16">
        <v>-96.888437171942996</v>
      </c>
      <c r="L63" s="16" t="str">
        <f>HYPERLINK("https://maps.google.com/?q=17.246139732993,-96.888437171943", "🔗 Ver Mapa")</f>
        <v>🔗 Ver Mapa</v>
      </c>
    </row>
    <row r="64" spans="1:12" ht="43.5" x14ac:dyDescent="0.35">
      <c r="A64" s="6" t="s">
        <v>1</v>
      </c>
      <c r="B64" s="6" t="s">
        <v>14</v>
      </c>
      <c r="C64" s="6" t="s">
        <v>40</v>
      </c>
      <c r="D64" s="11" t="s">
        <v>61</v>
      </c>
      <c r="E64" s="17" t="s">
        <v>75</v>
      </c>
      <c r="F64" s="17" t="s">
        <v>87</v>
      </c>
      <c r="G64" s="11" t="s">
        <v>105</v>
      </c>
      <c r="H64" s="11" t="s">
        <v>127</v>
      </c>
      <c r="I64" s="17" t="s">
        <v>138</v>
      </c>
      <c r="J64" s="17">
        <v>17.246139732993001</v>
      </c>
      <c r="K64" s="17">
        <v>-96.888437171942996</v>
      </c>
      <c r="L64" s="17" t="str">
        <f>HYPERLINK("https://maps.google.com/?q=17.246139732993,-96.888437171943", "🔗 Ver Mapa")</f>
        <v>🔗 Ver Mapa</v>
      </c>
    </row>
    <row r="65" spans="1:12" ht="43.5" x14ac:dyDescent="0.35">
      <c r="A65" s="5" t="s">
        <v>1</v>
      </c>
      <c r="B65" s="5" t="s">
        <v>14</v>
      </c>
      <c r="C65" s="5" t="s">
        <v>41</v>
      </c>
      <c r="D65" s="8" t="s">
        <v>61</v>
      </c>
      <c r="E65" s="16" t="s">
        <v>73</v>
      </c>
      <c r="F65" s="16" t="s">
        <v>81</v>
      </c>
      <c r="G65" s="8" t="s">
        <v>106</v>
      </c>
      <c r="H65" s="8" t="s">
        <v>128</v>
      </c>
      <c r="I65" s="16" t="s">
        <v>138</v>
      </c>
      <c r="J65" s="16">
        <v>17.495051694493</v>
      </c>
      <c r="K65" s="16">
        <v>-97.474206555075</v>
      </c>
      <c r="L65" s="16" t="str">
        <f>HYPERLINK("https://maps.google.com/?q=17.495051694493,-97.474206555075", "🔗 Ver Mapa")</f>
        <v>🔗 Ver Mapa</v>
      </c>
    </row>
    <row r="66" spans="1:12" ht="43.5" x14ac:dyDescent="0.35">
      <c r="A66" s="6" t="s">
        <v>1</v>
      </c>
      <c r="B66" s="6" t="s">
        <v>14</v>
      </c>
      <c r="C66" s="6" t="s">
        <v>42</v>
      </c>
      <c r="D66" s="11" t="s">
        <v>61</v>
      </c>
      <c r="E66" s="17" t="s">
        <v>77</v>
      </c>
      <c r="F66" s="17" t="s">
        <v>88</v>
      </c>
      <c r="G66" s="11" t="s">
        <v>107</v>
      </c>
      <c r="H66" s="11" t="s">
        <v>129</v>
      </c>
      <c r="I66" s="17" t="s">
        <v>138</v>
      </c>
      <c r="J66" s="17">
        <v>16.444791980659001</v>
      </c>
      <c r="K66" s="17">
        <v>-95.014763268408998</v>
      </c>
      <c r="L66" s="17" t="str">
        <f>HYPERLINK("https://maps.google.com/?q=16.444791980659,-95.014763268409", "🔗 Ver Mapa")</f>
        <v>🔗 Ver Mapa</v>
      </c>
    </row>
    <row r="67" spans="1:12" ht="43.5" x14ac:dyDescent="0.35">
      <c r="A67" s="5" t="s">
        <v>1</v>
      </c>
      <c r="B67" s="5" t="s">
        <v>14</v>
      </c>
      <c r="C67" s="5" t="s">
        <v>43</v>
      </c>
      <c r="D67" s="8" t="s">
        <v>61</v>
      </c>
      <c r="E67" s="16" t="s">
        <v>74</v>
      </c>
      <c r="F67" s="16" t="s">
        <v>89</v>
      </c>
      <c r="G67" s="8" t="s">
        <v>108</v>
      </c>
      <c r="H67" s="8" t="s">
        <v>130</v>
      </c>
      <c r="I67" s="16" t="s">
        <v>138</v>
      </c>
      <c r="J67" s="16">
        <v>15.70635</v>
      </c>
      <c r="K67" s="16">
        <v>-96.486739999999998</v>
      </c>
      <c r="L67" s="16" t="str">
        <f>HYPERLINK("https://maps.google.com/?q=15.70635,-96.48674", "🔗 Ver Mapa")</f>
        <v>🔗 Ver Mapa</v>
      </c>
    </row>
    <row r="68" spans="1:12" ht="58" x14ac:dyDescent="0.35">
      <c r="A68" s="6" t="s">
        <v>5</v>
      </c>
      <c r="B68" s="6" t="s">
        <v>18</v>
      </c>
      <c r="C68" s="6" t="s">
        <v>44</v>
      </c>
      <c r="D68" s="11" t="s">
        <v>65</v>
      </c>
      <c r="E68" s="17" t="s">
        <v>77</v>
      </c>
      <c r="F68" s="17" t="s">
        <v>88</v>
      </c>
      <c r="G68" s="11" t="s">
        <v>107</v>
      </c>
      <c r="H68" s="11" t="s">
        <v>129</v>
      </c>
      <c r="I68" s="17" t="s">
        <v>138</v>
      </c>
      <c r="J68" s="17">
        <v>16.433225392918001</v>
      </c>
      <c r="K68" s="17">
        <v>-95.021686793379004</v>
      </c>
      <c r="L68" s="17" t="str">
        <f>HYPERLINK("https://maps.google.com/?q=16.433225392918,-95.021686793379", "🔗 Ver Mapa")</f>
        <v>🔗 Ver Mapa</v>
      </c>
    </row>
    <row r="69" spans="1:12" ht="43.5" x14ac:dyDescent="0.35">
      <c r="A69" s="5" t="s">
        <v>6</v>
      </c>
      <c r="B69" s="5" t="s">
        <v>19</v>
      </c>
      <c r="C69" s="5" t="s">
        <v>45</v>
      </c>
      <c r="D69" s="8" t="s">
        <v>66</v>
      </c>
      <c r="E69" s="16" t="s">
        <v>75</v>
      </c>
      <c r="F69" s="16" t="s">
        <v>86</v>
      </c>
      <c r="G69" s="8" t="s">
        <v>104</v>
      </c>
      <c r="H69" s="8" t="s">
        <v>126</v>
      </c>
      <c r="I69" s="16" t="s">
        <v>138</v>
      </c>
      <c r="J69" s="16">
        <v>16.909980699999998</v>
      </c>
      <c r="K69" s="16">
        <v>-96.720372999999995</v>
      </c>
      <c r="L69" s="16" t="str">
        <f>HYPERLINK("https://maps.google.com/?q=16.9099807,-96.720373", "🔗 Ver Mapa")</f>
        <v>🔗 Ver Mapa</v>
      </c>
    </row>
    <row r="70" spans="1:12" ht="43.5" x14ac:dyDescent="0.35">
      <c r="A70" s="6" t="s">
        <v>6</v>
      </c>
      <c r="B70" s="6" t="s">
        <v>19</v>
      </c>
      <c r="C70" s="6" t="s">
        <v>46</v>
      </c>
      <c r="D70" s="11" t="s">
        <v>66</v>
      </c>
      <c r="E70" s="17" t="s">
        <v>75</v>
      </c>
      <c r="F70" s="17" t="s">
        <v>86</v>
      </c>
      <c r="G70" s="11" t="s">
        <v>104</v>
      </c>
      <c r="H70" s="11" t="s">
        <v>126</v>
      </c>
      <c r="I70" s="17" t="s">
        <v>138</v>
      </c>
      <c r="J70" s="17">
        <v>16.909980699999998</v>
      </c>
      <c r="K70" s="17">
        <v>-96.720372999999995</v>
      </c>
      <c r="L70" s="17" t="str">
        <f>HYPERLINK("https://maps.google.com/?q=16.9099807,-96.720373", "🔗 Ver Mapa")</f>
        <v>🔗 Ver Mapa</v>
      </c>
    </row>
    <row r="71" spans="1:12" ht="101.5" x14ac:dyDescent="0.35">
      <c r="A71" s="5" t="s">
        <v>6</v>
      </c>
      <c r="B71" s="5" t="s">
        <v>19</v>
      </c>
      <c r="C71" s="5" t="s">
        <v>47</v>
      </c>
      <c r="D71" s="8" t="s">
        <v>66</v>
      </c>
      <c r="E71" s="16" t="s">
        <v>75</v>
      </c>
      <c r="F71" s="16" t="s">
        <v>86</v>
      </c>
      <c r="G71" s="8" t="s">
        <v>104</v>
      </c>
      <c r="H71" s="8" t="s">
        <v>126</v>
      </c>
      <c r="I71" s="16" t="s">
        <v>138</v>
      </c>
      <c r="J71" s="16">
        <v>16.909980699999998</v>
      </c>
      <c r="K71" s="16">
        <v>-96.720372999999995</v>
      </c>
      <c r="L71" s="16" t="str">
        <f>HYPERLINK("https://maps.google.com/?q=16.9099807,-96.720373", "🔗 Ver Mapa")</f>
        <v>🔗 Ver Mapa</v>
      </c>
    </row>
    <row r="72" spans="1:12" ht="43.5" x14ac:dyDescent="0.35">
      <c r="A72" s="6" t="s">
        <v>6</v>
      </c>
      <c r="B72" s="6" t="s">
        <v>19</v>
      </c>
      <c r="C72" s="6" t="s">
        <v>48</v>
      </c>
      <c r="D72" s="11" t="s">
        <v>66</v>
      </c>
      <c r="E72" s="17" t="s">
        <v>75</v>
      </c>
      <c r="F72" s="17" t="s">
        <v>86</v>
      </c>
      <c r="G72" s="11" t="s">
        <v>104</v>
      </c>
      <c r="H72" s="11" t="s">
        <v>126</v>
      </c>
      <c r="I72" s="17" t="s">
        <v>138</v>
      </c>
      <c r="J72" s="17">
        <v>16.909980699999998</v>
      </c>
      <c r="K72" s="17">
        <v>-96.720372999999995</v>
      </c>
      <c r="L72" s="17" t="str">
        <f>HYPERLINK("https://maps.google.com/?q=16.9099807,-96.720373", "🔗 Ver Mapa")</f>
        <v>🔗 Ver Mapa</v>
      </c>
    </row>
    <row r="73" spans="1:12" ht="58" x14ac:dyDescent="0.35">
      <c r="A73" s="5" t="s">
        <v>7</v>
      </c>
      <c r="B73" s="5" t="s">
        <v>20</v>
      </c>
      <c r="C73" s="5" t="s">
        <v>49</v>
      </c>
      <c r="D73" s="8" t="s">
        <v>67</v>
      </c>
      <c r="E73" s="16" t="s">
        <v>78</v>
      </c>
      <c r="F73" s="16" t="s">
        <v>90</v>
      </c>
      <c r="G73" s="8" t="s">
        <v>109</v>
      </c>
      <c r="H73" s="8" t="s">
        <v>131</v>
      </c>
      <c r="I73" s="16" t="s">
        <v>138</v>
      </c>
      <c r="J73" s="16">
        <v>16.912623</v>
      </c>
      <c r="K73" s="16">
        <v>-96.077912999999995</v>
      </c>
      <c r="L73" s="16" t="str">
        <f>HYPERLINK("https://maps.google.com/?q=16.912623,-96.077913", "🔗 Ver Mapa")</f>
        <v>🔗 Ver Mapa</v>
      </c>
    </row>
    <row r="74" spans="1:12" ht="58" x14ac:dyDescent="0.35">
      <c r="A74" s="6" t="s">
        <v>7</v>
      </c>
      <c r="B74" s="6" t="s">
        <v>20</v>
      </c>
      <c r="C74" s="6" t="s">
        <v>49</v>
      </c>
      <c r="D74" s="11" t="s">
        <v>67</v>
      </c>
      <c r="E74" s="17" t="s">
        <v>78</v>
      </c>
      <c r="F74" s="17" t="s">
        <v>90</v>
      </c>
      <c r="G74" s="11" t="s">
        <v>109</v>
      </c>
      <c r="H74" s="11" t="s">
        <v>131</v>
      </c>
      <c r="I74" s="17" t="s">
        <v>138</v>
      </c>
      <c r="J74" s="17">
        <v>16.914738</v>
      </c>
      <c r="K74" s="17">
        <v>-96.077855999999997</v>
      </c>
      <c r="L74" s="17" t="str">
        <f>HYPERLINK("https://maps.google.com/?q=16.914738,-96.077856", "🔗 Ver Mapa")</f>
        <v>🔗 Ver Mapa</v>
      </c>
    </row>
    <row r="75" spans="1:12" ht="58" x14ac:dyDescent="0.35">
      <c r="A75" s="5" t="s">
        <v>7</v>
      </c>
      <c r="B75" s="5" t="s">
        <v>20</v>
      </c>
      <c r="C75" s="5" t="s">
        <v>49</v>
      </c>
      <c r="D75" s="8" t="s">
        <v>67</v>
      </c>
      <c r="E75" s="16" t="s">
        <v>78</v>
      </c>
      <c r="F75" s="16" t="s">
        <v>90</v>
      </c>
      <c r="G75" s="8" t="s">
        <v>109</v>
      </c>
      <c r="H75" s="8" t="s">
        <v>131</v>
      </c>
      <c r="I75" s="16" t="s">
        <v>138</v>
      </c>
      <c r="J75" s="16">
        <v>16.916361999999999</v>
      </c>
      <c r="K75" s="16">
        <v>-96.077980999999994</v>
      </c>
      <c r="L75" s="16" t="str">
        <f>HYPERLINK("https://maps.google.com/?q=16.916362,-96.077981", "🔗 Ver Mapa")</f>
        <v>🔗 Ver Mapa</v>
      </c>
    </row>
    <row r="76" spans="1:12" ht="29" x14ac:dyDescent="0.35">
      <c r="A76" s="6" t="s">
        <v>4</v>
      </c>
      <c r="B76" s="6" t="s">
        <v>17</v>
      </c>
      <c r="C76" s="6" t="s">
        <v>50</v>
      </c>
      <c r="D76" s="11" t="s">
        <v>64</v>
      </c>
      <c r="E76" s="17" t="s">
        <v>79</v>
      </c>
      <c r="F76" s="17" t="s">
        <v>91</v>
      </c>
      <c r="G76" s="11" t="s">
        <v>110</v>
      </c>
      <c r="H76" s="11" t="s">
        <v>132</v>
      </c>
      <c r="I76" s="17" t="s">
        <v>138</v>
      </c>
      <c r="J76" s="17">
        <v>16.434564000000002</v>
      </c>
      <c r="K76" s="17">
        <v>-96.900452999999999</v>
      </c>
      <c r="L76" s="17" t="str">
        <f>HYPERLINK("https://maps.google.com/?q=16.434564,-96.900453", "🔗 Ver Mapa")</f>
        <v>🔗 Ver Mapa</v>
      </c>
    </row>
    <row r="77" spans="1:12" ht="29" x14ac:dyDescent="0.35">
      <c r="A77" s="5" t="s">
        <v>4</v>
      </c>
      <c r="B77" s="5" t="s">
        <v>17</v>
      </c>
      <c r="C77" s="5" t="s">
        <v>50</v>
      </c>
      <c r="D77" s="8" t="s">
        <v>64</v>
      </c>
      <c r="E77" s="16" t="s">
        <v>79</v>
      </c>
      <c r="F77" s="16" t="s">
        <v>91</v>
      </c>
      <c r="G77" s="8" t="s">
        <v>110</v>
      </c>
      <c r="H77" s="8" t="s">
        <v>132</v>
      </c>
      <c r="I77" s="16" t="s">
        <v>138</v>
      </c>
      <c r="J77" s="16">
        <v>16.434564000000002</v>
      </c>
      <c r="K77" s="16">
        <v>-96.900452999999999</v>
      </c>
      <c r="L77" s="16" t="str">
        <f>HYPERLINK("https://maps.google.com/?q=16.434564,-96.900453", "🔗 Ver Mapa")</f>
        <v>🔗 Ver Mapa</v>
      </c>
    </row>
    <row r="78" spans="1:12" ht="43.5" x14ac:dyDescent="0.35">
      <c r="A78" s="6" t="s">
        <v>8</v>
      </c>
      <c r="B78" s="6" t="s">
        <v>21</v>
      </c>
      <c r="C78" s="6" t="s">
        <v>51</v>
      </c>
      <c r="D78" s="11" t="s">
        <v>68</v>
      </c>
      <c r="E78" s="17" t="s">
        <v>74</v>
      </c>
      <c r="F78" s="17" t="s">
        <v>89</v>
      </c>
      <c r="G78" s="11" t="s">
        <v>111</v>
      </c>
      <c r="H78" s="11" t="s">
        <v>133</v>
      </c>
      <c r="I78" s="17" t="s">
        <v>139</v>
      </c>
      <c r="J78" s="17">
        <v>15.722837802725</v>
      </c>
      <c r="K78" s="17">
        <v>-96.166504653323997</v>
      </c>
      <c r="L78" s="17" t="str">
        <f>HYPERLINK("https://maps.google.com/?q=15.722837802725,-96.166504653324", "🔗 Ver Mapa")</f>
        <v>🔗 Ver Mapa</v>
      </c>
    </row>
    <row r="79" spans="1:12" ht="43.5" x14ac:dyDescent="0.35">
      <c r="A79" s="5" t="s">
        <v>8</v>
      </c>
      <c r="B79" s="5" t="s">
        <v>21</v>
      </c>
      <c r="C79" s="5" t="s">
        <v>51</v>
      </c>
      <c r="D79" s="8" t="s">
        <v>68</v>
      </c>
      <c r="E79" s="16" t="s">
        <v>74</v>
      </c>
      <c r="F79" s="16" t="s">
        <v>89</v>
      </c>
      <c r="G79" s="8" t="s">
        <v>111</v>
      </c>
      <c r="H79" s="8" t="s">
        <v>133</v>
      </c>
      <c r="I79" s="16" t="s">
        <v>139</v>
      </c>
      <c r="J79" s="16">
        <v>15.723829231084</v>
      </c>
      <c r="K79" s="16">
        <v>-96.151055129398003</v>
      </c>
      <c r="L79" s="16" t="str">
        <f>HYPERLINK("https://maps.google.com/?q=15.723829231084,-96.151055129398", "🔗 Ver Mapa")</f>
        <v>🔗 Ver Mapa</v>
      </c>
    </row>
    <row r="80" spans="1:12" ht="43.5" x14ac:dyDescent="0.35">
      <c r="A80" s="6" t="s">
        <v>8</v>
      </c>
      <c r="B80" s="6" t="s">
        <v>21</v>
      </c>
      <c r="C80" s="6" t="s">
        <v>51</v>
      </c>
      <c r="D80" s="11" t="s">
        <v>68</v>
      </c>
      <c r="E80" s="17" t="s">
        <v>74</v>
      </c>
      <c r="F80" s="17" t="s">
        <v>89</v>
      </c>
      <c r="G80" s="11" t="s">
        <v>111</v>
      </c>
      <c r="H80" s="11" t="s">
        <v>133</v>
      </c>
      <c r="I80" s="17" t="s">
        <v>139</v>
      </c>
      <c r="J80" s="17">
        <v>15.786279469359</v>
      </c>
      <c r="K80" s="17">
        <v>-96.176117690433003</v>
      </c>
      <c r="L80" s="17" t="str">
        <f>HYPERLINK("https://maps.google.com/?q=15.786279469359,-96.176117690433", "🔗 Ver Mapa")</f>
        <v>🔗 Ver Mapa</v>
      </c>
    </row>
    <row r="81" spans="1:12" ht="43.5" x14ac:dyDescent="0.35">
      <c r="A81" s="5" t="s">
        <v>8</v>
      </c>
      <c r="B81" s="5" t="s">
        <v>21</v>
      </c>
      <c r="C81" s="5" t="s">
        <v>51</v>
      </c>
      <c r="D81" s="8" t="s">
        <v>68</v>
      </c>
      <c r="E81" s="16" t="s">
        <v>74</v>
      </c>
      <c r="F81" s="16" t="s">
        <v>89</v>
      </c>
      <c r="G81" s="8" t="s">
        <v>111</v>
      </c>
      <c r="H81" s="8" t="s">
        <v>133</v>
      </c>
      <c r="I81" s="16" t="s">
        <v>139</v>
      </c>
      <c r="J81" s="16">
        <v>15.787931331164</v>
      </c>
      <c r="K81" s="16">
        <v>-96.049774916996</v>
      </c>
      <c r="L81" s="16" t="str">
        <f>HYPERLINK("https://maps.google.com/?q=15.787931331164,-96.049774916996", "🔗 Ver Mapa")</f>
        <v>🔗 Ver Mapa</v>
      </c>
    </row>
    <row r="82" spans="1:12" ht="43.5" x14ac:dyDescent="0.35">
      <c r="A82" s="6" t="s">
        <v>8</v>
      </c>
      <c r="B82" s="6" t="s">
        <v>21</v>
      </c>
      <c r="C82" s="6" t="s">
        <v>51</v>
      </c>
      <c r="D82" s="11" t="s">
        <v>68</v>
      </c>
      <c r="E82" s="17" t="s">
        <v>74</v>
      </c>
      <c r="F82" s="17" t="s">
        <v>89</v>
      </c>
      <c r="G82" s="11" t="s">
        <v>111</v>
      </c>
      <c r="H82" s="11" t="s">
        <v>133</v>
      </c>
      <c r="I82" s="17" t="s">
        <v>139</v>
      </c>
      <c r="J82" s="17">
        <v>15.821626371005999</v>
      </c>
      <c r="K82" s="17">
        <v>-96.068314345706995</v>
      </c>
      <c r="L82" s="17" t="str">
        <f>HYPERLINK("https://maps.google.com/?q=15.821626371006,-96.068314345707", "🔗 Ver Mapa")</f>
        <v>🔗 Ver Mapa</v>
      </c>
    </row>
    <row r="83" spans="1:12" ht="29" x14ac:dyDescent="0.35">
      <c r="A83" s="5" t="s">
        <v>9</v>
      </c>
      <c r="B83" s="5" t="s">
        <v>22</v>
      </c>
      <c r="C83" s="5" t="s">
        <v>52</v>
      </c>
      <c r="D83" s="8" t="s">
        <v>65</v>
      </c>
      <c r="E83" s="16" t="s">
        <v>75</v>
      </c>
      <c r="F83" s="16" t="s">
        <v>86</v>
      </c>
      <c r="G83" s="8" t="s">
        <v>103</v>
      </c>
      <c r="H83" s="8" t="s">
        <v>125</v>
      </c>
      <c r="I83" s="16" t="s">
        <v>138</v>
      </c>
      <c r="J83" s="16">
        <v>17.068684099999999</v>
      </c>
      <c r="K83" s="16">
        <v>-96.730748300000002</v>
      </c>
      <c r="L83" s="16" t="str">
        <f>HYPERLINK("https://maps.google.com/?q=17.0686841,-96.7307483", "🔗 Ver Mapa")</f>
        <v>🔗 Ver Mapa</v>
      </c>
    </row>
    <row r="84" spans="1:12" ht="43.5" x14ac:dyDescent="0.35">
      <c r="A84" s="6" t="s">
        <v>10</v>
      </c>
      <c r="B84" s="6" t="s">
        <v>23</v>
      </c>
      <c r="C84" s="6" t="s">
        <v>53</v>
      </c>
      <c r="D84" s="11" t="s">
        <v>69</v>
      </c>
      <c r="E84" s="17" t="s">
        <v>75</v>
      </c>
      <c r="F84" s="17" t="s">
        <v>86</v>
      </c>
      <c r="G84" s="11" t="s">
        <v>103</v>
      </c>
      <c r="H84" s="11" t="s">
        <v>134</v>
      </c>
      <c r="I84" s="17" t="s">
        <v>138</v>
      </c>
      <c r="J84" s="17">
        <v>17.126436495067999</v>
      </c>
      <c r="K84" s="17">
        <v>-96.768011532824005</v>
      </c>
      <c r="L84" s="17" t="str">
        <f>HYPERLINK("https://maps.google.com/?q=17.126436495068,-96.768011532824", "🔗 Ver Mapa")</f>
        <v>🔗 Ver Mapa</v>
      </c>
    </row>
    <row r="85" spans="1:12" ht="58" x14ac:dyDescent="0.35">
      <c r="A85" s="5" t="s">
        <v>10</v>
      </c>
      <c r="B85" s="5" t="s">
        <v>23</v>
      </c>
      <c r="C85" s="5" t="s">
        <v>54</v>
      </c>
      <c r="D85" s="8" t="s">
        <v>70</v>
      </c>
      <c r="E85" s="16" t="s">
        <v>75</v>
      </c>
      <c r="F85" s="16" t="s">
        <v>86</v>
      </c>
      <c r="G85" s="8" t="s">
        <v>103</v>
      </c>
      <c r="H85" s="8" t="s">
        <v>134</v>
      </c>
      <c r="I85" s="16" t="s">
        <v>138</v>
      </c>
      <c r="J85" s="16">
        <v>17.126349585836</v>
      </c>
      <c r="K85" s="16">
        <v>-96.767935762613007</v>
      </c>
      <c r="L85" s="16" t="str">
        <f>HYPERLINK("https://maps.google.com/?q=17.126349585836,-96.767935762613", "🔗 Ver Mapa")</f>
        <v>🔗 Ver Mapa</v>
      </c>
    </row>
    <row r="86" spans="1:12" ht="29" x14ac:dyDescent="0.35">
      <c r="A86" s="6" t="s">
        <v>11</v>
      </c>
      <c r="B86" s="6" t="s">
        <v>24</v>
      </c>
      <c r="C86" s="6" t="s">
        <v>55</v>
      </c>
      <c r="D86" s="11" t="s">
        <v>71</v>
      </c>
      <c r="E86" s="17" t="s">
        <v>75</v>
      </c>
      <c r="F86" s="17" t="s">
        <v>86</v>
      </c>
      <c r="G86" s="11" t="s">
        <v>112</v>
      </c>
      <c r="H86" s="11" t="s">
        <v>135</v>
      </c>
      <c r="I86" s="17" t="s">
        <v>138</v>
      </c>
      <c r="J86" s="17">
        <v>17.004140556901</v>
      </c>
      <c r="K86" s="17">
        <v>-96.721315826321003</v>
      </c>
      <c r="L86" s="17" t="str">
        <f>HYPERLINK("https://maps.google.com/?q=17.004140556901,-96.721315826321", "🔗 Ver Mapa")</f>
        <v>🔗 Ver Mapa</v>
      </c>
    </row>
    <row r="87" spans="1:12" ht="43.5" x14ac:dyDescent="0.35">
      <c r="A87" s="5" t="s">
        <v>12</v>
      </c>
      <c r="B87" s="5" t="s">
        <v>25</v>
      </c>
      <c r="C87" s="5" t="s">
        <v>56</v>
      </c>
      <c r="D87" s="8" t="s">
        <v>62</v>
      </c>
      <c r="E87" s="16" t="s">
        <v>76</v>
      </c>
      <c r="F87" s="16" t="s">
        <v>85</v>
      </c>
      <c r="G87" s="8" t="s">
        <v>102</v>
      </c>
      <c r="H87" s="8" t="s">
        <v>124</v>
      </c>
      <c r="I87" s="16" t="s">
        <v>138</v>
      </c>
      <c r="J87" s="16">
        <v>16.334594520959001</v>
      </c>
      <c r="K87" s="16">
        <v>-96.598246376282006</v>
      </c>
      <c r="L87" s="16" t="str">
        <f>HYPERLINK("https://maps.google.com/?q=16.334594520959,-96.598246376282", "🔗 Ver Mapa")</f>
        <v>🔗 Ver Mapa</v>
      </c>
    </row>
    <row r="88" spans="1:12" ht="43.5" x14ac:dyDescent="0.35">
      <c r="A88" s="6" t="s">
        <v>12</v>
      </c>
      <c r="B88" s="6" t="s">
        <v>25</v>
      </c>
      <c r="C88" s="6" t="s">
        <v>56</v>
      </c>
      <c r="D88" s="11" t="s">
        <v>62</v>
      </c>
      <c r="E88" s="17" t="s">
        <v>76</v>
      </c>
      <c r="F88" s="17" t="s">
        <v>85</v>
      </c>
      <c r="G88" s="11" t="s">
        <v>102</v>
      </c>
      <c r="H88" s="11" t="s">
        <v>124</v>
      </c>
      <c r="I88" s="17" t="s">
        <v>138</v>
      </c>
      <c r="J88" s="17">
        <v>17.014667500000002</v>
      </c>
      <c r="K88" s="17">
        <v>-96.749622400000007</v>
      </c>
      <c r="L88" s="17" t="str">
        <f>HYPERLINK("https://maps.google.com/?q=17.0146675,-96.7496224", "🔗 Ver Mapa")</f>
        <v>🔗 Ver Mapa</v>
      </c>
    </row>
    <row r="89" spans="1:12" ht="43.5" x14ac:dyDescent="0.35">
      <c r="A89" s="5" t="s">
        <v>12</v>
      </c>
      <c r="B89" s="5" t="s">
        <v>25</v>
      </c>
      <c r="C89" s="5" t="s">
        <v>56</v>
      </c>
      <c r="D89" s="8" t="s">
        <v>62</v>
      </c>
      <c r="E89" s="16" t="s">
        <v>76</v>
      </c>
      <c r="F89" s="16" t="s">
        <v>85</v>
      </c>
      <c r="G89" s="8" t="s">
        <v>102</v>
      </c>
      <c r="H89" s="8" t="s">
        <v>124</v>
      </c>
      <c r="I89" s="16" t="s">
        <v>138</v>
      </c>
      <c r="J89" s="16">
        <v>17.052487811178999</v>
      </c>
      <c r="K89" s="16">
        <v>-96.753534643441995</v>
      </c>
      <c r="L89" s="16" t="str">
        <f>HYPERLINK("https://maps.google.com/?q=17.052487811179,-96.753534643442", "🔗 Ver Mapa")</f>
        <v>🔗 Ver Mapa</v>
      </c>
    </row>
    <row r="90" spans="1:12" ht="43.5" x14ac:dyDescent="0.35">
      <c r="A90" s="6" t="s">
        <v>12</v>
      </c>
      <c r="B90" s="6" t="s">
        <v>25</v>
      </c>
      <c r="C90" s="6" t="s">
        <v>56</v>
      </c>
      <c r="D90" s="11" t="s">
        <v>62</v>
      </c>
      <c r="E90" s="17" t="s">
        <v>76</v>
      </c>
      <c r="F90" s="17" t="s">
        <v>85</v>
      </c>
      <c r="G90" s="11" t="s">
        <v>102</v>
      </c>
      <c r="H90" s="11" t="s">
        <v>124</v>
      </c>
      <c r="I90" s="17" t="s">
        <v>138</v>
      </c>
      <c r="J90" s="17">
        <v>17.063274305274</v>
      </c>
      <c r="K90" s="17">
        <v>-96.69067918863</v>
      </c>
      <c r="L90" s="17" t="str">
        <f>HYPERLINK("https://maps.google.com/?q=17.063274305274,-96.69067918863", "🔗 Ver Mapa")</f>
        <v>🔗 Ver Mapa</v>
      </c>
    </row>
    <row r="91" spans="1:12" ht="43.5" x14ac:dyDescent="0.35">
      <c r="A91" s="5" t="s">
        <v>12</v>
      </c>
      <c r="B91" s="5" t="s">
        <v>25</v>
      </c>
      <c r="C91" s="5" t="s">
        <v>56</v>
      </c>
      <c r="D91" s="8" t="s">
        <v>62</v>
      </c>
      <c r="E91" s="16" t="s">
        <v>76</v>
      </c>
      <c r="F91" s="16" t="s">
        <v>85</v>
      </c>
      <c r="G91" s="8" t="s">
        <v>102</v>
      </c>
      <c r="H91" s="8" t="s">
        <v>124</v>
      </c>
      <c r="I91" s="16" t="s">
        <v>138</v>
      </c>
      <c r="J91" s="16">
        <v>17.092501866193999</v>
      </c>
      <c r="K91" s="16">
        <v>-96.739130104826003</v>
      </c>
      <c r="L91" s="16" t="str">
        <f>HYPERLINK("https://maps.google.com/?q=17.092501866194,-96.739130104826", "🔗 Ver Mapa")</f>
        <v>🔗 Ver Mapa</v>
      </c>
    </row>
    <row r="92" spans="1:12" ht="58" x14ac:dyDescent="0.35">
      <c r="A92" s="6" t="s">
        <v>12</v>
      </c>
      <c r="B92" s="6" t="s">
        <v>25</v>
      </c>
      <c r="C92" s="6" t="s">
        <v>57</v>
      </c>
      <c r="D92" s="11" t="s">
        <v>62</v>
      </c>
      <c r="E92" s="17" t="s">
        <v>76</v>
      </c>
      <c r="F92" s="17" t="s">
        <v>85</v>
      </c>
      <c r="G92" s="11" t="s">
        <v>102</v>
      </c>
      <c r="H92" s="11" t="s">
        <v>124</v>
      </c>
      <c r="I92" s="17" t="s">
        <v>138</v>
      </c>
      <c r="J92" s="17">
        <v>15.745926640382001</v>
      </c>
      <c r="K92" s="17">
        <v>-96.465172777199001</v>
      </c>
      <c r="L92" s="17" t="str">
        <f>HYPERLINK("https://maps.google.com/?q=15.745926640382,-96.465172777199", "🔗 Ver Mapa")</f>
        <v>🔗 Ver Mapa</v>
      </c>
    </row>
    <row r="93" spans="1:12" ht="58" x14ac:dyDescent="0.35">
      <c r="A93" s="5" t="s">
        <v>12</v>
      </c>
      <c r="B93" s="5" t="s">
        <v>25</v>
      </c>
      <c r="C93" s="5" t="s">
        <v>57</v>
      </c>
      <c r="D93" s="8" t="s">
        <v>62</v>
      </c>
      <c r="E93" s="16" t="s">
        <v>76</v>
      </c>
      <c r="F93" s="16" t="s">
        <v>85</v>
      </c>
      <c r="G93" s="8" t="s">
        <v>102</v>
      </c>
      <c r="H93" s="8" t="s">
        <v>124</v>
      </c>
      <c r="I93" s="16" t="s">
        <v>138</v>
      </c>
      <c r="J93" s="16">
        <v>16.340803799300001</v>
      </c>
      <c r="K93" s="16">
        <v>-98.051202784169007</v>
      </c>
      <c r="L93" s="16" t="str">
        <f>HYPERLINK("https://maps.google.com/?q=16.3408037993,-98.051202784169", "🔗 Ver Mapa")</f>
        <v>🔗 Ver Mapa</v>
      </c>
    </row>
    <row r="94" spans="1:12" ht="58" x14ac:dyDescent="0.35">
      <c r="A94" s="6" t="s">
        <v>12</v>
      </c>
      <c r="B94" s="6" t="s">
        <v>25</v>
      </c>
      <c r="C94" s="6" t="s">
        <v>57</v>
      </c>
      <c r="D94" s="11" t="s">
        <v>62</v>
      </c>
      <c r="E94" s="17" t="s">
        <v>76</v>
      </c>
      <c r="F94" s="17" t="s">
        <v>85</v>
      </c>
      <c r="G94" s="11" t="s">
        <v>102</v>
      </c>
      <c r="H94" s="11" t="s">
        <v>124</v>
      </c>
      <c r="I94" s="17" t="s">
        <v>138</v>
      </c>
      <c r="J94" s="17">
        <v>16.440143710350998</v>
      </c>
      <c r="K94" s="17">
        <v>-95.020793721096993</v>
      </c>
      <c r="L94" s="17" t="str">
        <f>HYPERLINK("https://maps.google.com/?q=16.440143710351,-95.020793721097", "🔗 Ver Mapa")</f>
        <v>🔗 Ver Mapa</v>
      </c>
    </row>
    <row r="95" spans="1:12" ht="58" x14ac:dyDescent="0.35">
      <c r="A95" s="5" t="s">
        <v>12</v>
      </c>
      <c r="B95" s="5" t="s">
        <v>25</v>
      </c>
      <c r="C95" s="5" t="s">
        <v>57</v>
      </c>
      <c r="D95" s="8" t="s">
        <v>62</v>
      </c>
      <c r="E95" s="16" t="s">
        <v>76</v>
      </c>
      <c r="F95" s="16" t="s">
        <v>85</v>
      </c>
      <c r="G95" s="8" t="s">
        <v>102</v>
      </c>
      <c r="H95" s="8" t="s">
        <v>124</v>
      </c>
      <c r="I95" s="16" t="s">
        <v>138</v>
      </c>
      <c r="J95" s="16">
        <v>17.803008421946998</v>
      </c>
      <c r="K95" s="16">
        <v>-97.778523274850997</v>
      </c>
      <c r="L95" s="16" t="str">
        <f>HYPERLINK("https://maps.google.com/?q=17.803008421947,-97.778523274851", "🔗 Ver Mapa")</f>
        <v>🔗 Ver Mapa</v>
      </c>
    </row>
    <row r="96" spans="1:12" ht="58" x14ac:dyDescent="0.35">
      <c r="A96" s="6" t="s">
        <v>12</v>
      </c>
      <c r="B96" s="6" t="s">
        <v>25</v>
      </c>
      <c r="C96" s="6" t="s">
        <v>57</v>
      </c>
      <c r="D96" s="11" t="s">
        <v>62</v>
      </c>
      <c r="E96" s="17" t="s">
        <v>76</v>
      </c>
      <c r="F96" s="17" t="s">
        <v>85</v>
      </c>
      <c r="G96" s="11" t="s">
        <v>102</v>
      </c>
      <c r="H96" s="11" t="s">
        <v>124</v>
      </c>
      <c r="I96" s="17" t="s">
        <v>138</v>
      </c>
      <c r="J96" s="17">
        <v>18.128504222033001</v>
      </c>
      <c r="K96" s="17">
        <v>-96.846492648481004</v>
      </c>
      <c r="L96" s="17" t="str">
        <f>HYPERLINK("https://maps.google.com/?q=18.128504222033,-96.846492648481", "🔗 Ver Mapa")</f>
        <v>🔗 Ver Mapa</v>
      </c>
    </row>
    <row r="97" spans="1:12" ht="58" x14ac:dyDescent="0.35">
      <c r="A97" s="5" t="s">
        <v>12</v>
      </c>
      <c r="B97" s="5" t="s">
        <v>25</v>
      </c>
      <c r="C97" s="5" t="s">
        <v>57</v>
      </c>
      <c r="D97" s="8" t="s">
        <v>62</v>
      </c>
      <c r="E97" s="16" t="s">
        <v>76</v>
      </c>
      <c r="F97" s="16" t="s">
        <v>85</v>
      </c>
      <c r="G97" s="8" t="s">
        <v>102</v>
      </c>
      <c r="H97" s="8" t="s">
        <v>124</v>
      </c>
      <c r="I97" s="16" t="s">
        <v>138</v>
      </c>
      <c r="J97" s="16">
        <v>18.538222899849998</v>
      </c>
      <c r="K97" s="16">
        <v>-96.607350067330003</v>
      </c>
      <c r="L97" s="16" t="str">
        <f>HYPERLINK("https://maps.google.com/?q=18.53822289985,-96.60735006733", "🔗 Ver Mapa")</f>
        <v>🔗 Ver Mapa</v>
      </c>
    </row>
    <row r="98" spans="1:12" ht="43.5" x14ac:dyDescent="0.35">
      <c r="A98" s="6" t="s">
        <v>12</v>
      </c>
      <c r="B98" s="6" t="s">
        <v>25</v>
      </c>
      <c r="C98" s="6" t="s">
        <v>58</v>
      </c>
      <c r="D98" s="11" t="s">
        <v>62</v>
      </c>
      <c r="E98" s="17" t="s">
        <v>76</v>
      </c>
      <c r="F98" s="17" t="s">
        <v>85</v>
      </c>
      <c r="G98" s="11" t="s">
        <v>102</v>
      </c>
      <c r="H98" s="11" t="s">
        <v>124</v>
      </c>
      <c r="I98" s="17" t="s">
        <v>138</v>
      </c>
      <c r="J98" s="17">
        <v>17.017935840343998</v>
      </c>
      <c r="K98" s="17">
        <v>-97.917891948461005</v>
      </c>
      <c r="L98" s="17" t="str">
        <f>HYPERLINK("https://maps.google.com/?q=17.017935840344,-97.917891948461", "🔗 Ver Mapa")</f>
        <v>🔗 Ver Mapa</v>
      </c>
    </row>
    <row r="99" spans="1:12" ht="43.5" x14ac:dyDescent="0.35">
      <c r="A99" s="5" t="s">
        <v>12</v>
      </c>
      <c r="B99" s="5" t="s">
        <v>25</v>
      </c>
      <c r="C99" s="5" t="s">
        <v>58</v>
      </c>
      <c r="D99" s="8" t="s">
        <v>62</v>
      </c>
      <c r="E99" s="16" t="s">
        <v>76</v>
      </c>
      <c r="F99" s="16" t="s">
        <v>85</v>
      </c>
      <c r="G99" s="8" t="s">
        <v>102</v>
      </c>
      <c r="H99" s="8" t="s">
        <v>124</v>
      </c>
      <c r="I99" s="16" t="s">
        <v>138</v>
      </c>
      <c r="J99" s="16">
        <v>17.335047093829001</v>
      </c>
      <c r="K99" s="16">
        <v>-98.012456050805</v>
      </c>
      <c r="L99" s="16" t="str">
        <f>HYPERLINK("https://maps.google.com/?q=17.335047093829,-98.012456050805", "🔗 Ver Mapa")</f>
        <v>🔗 Ver Mapa</v>
      </c>
    </row>
    <row r="100" spans="1:12" ht="58" x14ac:dyDescent="0.35">
      <c r="A100" s="6" t="s">
        <v>1</v>
      </c>
      <c r="B100" s="6" t="s">
        <v>14</v>
      </c>
      <c r="C100" s="6" t="s">
        <v>59</v>
      </c>
      <c r="D100" s="11" t="s">
        <v>61</v>
      </c>
      <c r="E100" s="17" t="s">
        <v>74</v>
      </c>
      <c r="F100" s="17" t="s">
        <v>82</v>
      </c>
      <c r="G100" s="11" t="s">
        <v>113</v>
      </c>
      <c r="H100" s="11" t="s">
        <v>136</v>
      </c>
      <c r="I100" s="17" t="s">
        <v>138</v>
      </c>
      <c r="J100" s="17">
        <v>16.539352884136999</v>
      </c>
      <c r="K100" s="17">
        <v>-98.036614263638</v>
      </c>
      <c r="L100" s="17" t="str">
        <f>HYPERLINK("https://maps.google.com/?q=16.539352884137,-98.036614263638", "🔗 Ver Mapa")</f>
        <v>🔗 Ver Mapa</v>
      </c>
    </row>
    <row r="101" spans="1:12" ht="58" x14ac:dyDescent="0.35">
      <c r="A101" s="5" t="s">
        <v>1</v>
      </c>
      <c r="B101" s="5" t="s">
        <v>14</v>
      </c>
      <c r="C101" s="5" t="s">
        <v>147</v>
      </c>
      <c r="D101" s="8" t="s">
        <v>61</v>
      </c>
      <c r="E101" s="16" t="s">
        <v>75</v>
      </c>
      <c r="F101" s="16" t="s">
        <v>84</v>
      </c>
      <c r="G101" s="8" t="s">
        <v>98</v>
      </c>
      <c r="H101" s="8" t="s">
        <v>120</v>
      </c>
      <c r="I101" s="16" t="s">
        <v>138</v>
      </c>
      <c r="J101" s="16">
        <v>16.808083400617999</v>
      </c>
      <c r="K101" s="16">
        <v>-96.435449524505998</v>
      </c>
      <c r="L101" s="16" t="str">
        <f>HYPERLINK("https://maps.google.com/?q=16.808083400618,-96.435449524506", "🔗 Ver Mapa")</f>
        <v>🔗 Ver Mapa</v>
      </c>
    </row>
    <row r="102" spans="1:12" ht="58" x14ac:dyDescent="0.35">
      <c r="A102" s="6" t="s">
        <v>1</v>
      </c>
      <c r="B102" s="6" t="s">
        <v>14</v>
      </c>
      <c r="C102" s="6" t="s">
        <v>148</v>
      </c>
      <c r="D102" s="11" t="s">
        <v>61</v>
      </c>
      <c r="E102" s="17" t="s">
        <v>75</v>
      </c>
      <c r="F102" s="17" t="s">
        <v>149</v>
      </c>
      <c r="G102" s="11" t="s">
        <v>150</v>
      </c>
      <c r="H102" s="11" t="s">
        <v>151</v>
      </c>
      <c r="I102" s="17" t="s">
        <v>138</v>
      </c>
      <c r="J102" s="17">
        <v>16.740210051059002</v>
      </c>
      <c r="K102" s="17">
        <v>-96.713935699445997</v>
      </c>
      <c r="L102" s="17" t="str">
        <f>HYPERLINK("https://maps.google.com/?q=16.740210051059,-96.713935699446", "🔗 Ver Mapa")</f>
        <v>🔗 Ver Mapa</v>
      </c>
    </row>
    <row r="103" spans="1:12" ht="43.5" x14ac:dyDescent="0.35">
      <c r="A103" s="5" t="s">
        <v>1</v>
      </c>
      <c r="B103" s="5" t="s">
        <v>14</v>
      </c>
      <c r="C103" s="5" t="s">
        <v>152</v>
      </c>
      <c r="D103" s="8" t="s">
        <v>61</v>
      </c>
      <c r="E103" s="16" t="s">
        <v>75</v>
      </c>
      <c r="F103" s="16" t="s">
        <v>149</v>
      </c>
      <c r="G103" s="8" t="s">
        <v>153</v>
      </c>
      <c r="H103" s="8" t="s">
        <v>154</v>
      </c>
      <c r="I103" s="16" t="s">
        <v>138</v>
      </c>
      <c r="J103" s="16">
        <v>16.804843928825001</v>
      </c>
      <c r="K103" s="16">
        <v>-96.722378750453998</v>
      </c>
      <c r="L103" s="16" t="str">
        <f>HYPERLINK("https://maps.google.com/?q=16.804843928825,-96.722378750454", "🔗 Ver Mapa")</f>
        <v>🔗 Ver Mapa</v>
      </c>
    </row>
    <row r="104" spans="1:12" ht="43.5" x14ac:dyDescent="0.35">
      <c r="A104" s="6" t="s">
        <v>1</v>
      </c>
      <c r="B104" s="6" t="s">
        <v>14</v>
      </c>
      <c r="C104" s="6" t="s">
        <v>155</v>
      </c>
      <c r="D104" s="11" t="s">
        <v>61</v>
      </c>
      <c r="E104" s="17" t="s">
        <v>75</v>
      </c>
      <c r="F104" s="17" t="s">
        <v>156</v>
      </c>
      <c r="G104" s="11" t="s">
        <v>157</v>
      </c>
      <c r="H104" s="11" t="s">
        <v>158</v>
      </c>
      <c r="I104" s="17" t="s">
        <v>138</v>
      </c>
      <c r="J104" s="17">
        <v>16.557304256896</v>
      </c>
      <c r="K104" s="17">
        <v>-96.817719164905995</v>
      </c>
      <c r="L104" s="17" t="str">
        <f>HYPERLINK("https://maps.google.com/?q=16.557304256896,-96.817719164906", "🔗 Ver Mapa")</f>
        <v>🔗 Ver Mapa</v>
      </c>
    </row>
    <row r="105" spans="1:12" ht="43.5" x14ac:dyDescent="0.35">
      <c r="A105" s="5" t="s">
        <v>1</v>
      </c>
      <c r="B105" s="5" t="s">
        <v>14</v>
      </c>
      <c r="C105" s="5" t="s">
        <v>159</v>
      </c>
      <c r="D105" s="8" t="s">
        <v>61</v>
      </c>
      <c r="E105" s="16" t="s">
        <v>75</v>
      </c>
      <c r="F105" s="16" t="s">
        <v>156</v>
      </c>
      <c r="G105" s="8" t="s">
        <v>157</v>
      </c>
      <c r="H105" s="8" t="s">
        <v>158</v>
      </c>
      <c r="I105" s="16" t="s">
        <v>138</v>
      </c>
      <c r="J105" s="16">
        <v>16.557047695428</v>
      </c>
      <c r="K105" s="16">
        <v>-96.820706216800005</v>
      </c>
      <c r="L105" s="16" t="str">
        <f>HYPERLINK("https://maps.google.com/?q=16.557047695428,-96.8207062168", "🔗 Ver Mapa")</f>
        <v>🔗 Ver Mapa</v>
      </c>
    </row>
    <row r="106" spans="1:12" ht="58" x14ac:dyDescent="0.35">
      <c r="A106" s="6" t="s">
        <v>1</v>
      </c>
      <c r="B106" s="6" t="s">
        <v>14</v>
      </c>
      <c r="C106" s="6" t="s">
        <v>160</v>
      </c>
      <c r="D106" s="11" t="s">
        <v>61</v>
      </c>
      <c r="E106" s="17" t="s">
        <v>75</v>
      </c>
      <c r="F106" s="17" t="s">
        <v>86</v>
      </c>
      <c r="G106" s="11" t="s">
        <v>161</v>
      </c>
      <c r="H106" s="11" t="s">
        <v>162</v>
      </c>
      <c r="I106" s="17" t="s">
        <v>138</v>
      </c>
      <c r="J106" s="17">
        <v>17.044806688975999</v>
      </c>
      <c r="K106" s="17">
        <v>-96.629701605394999</v>
      </c>
      <c r="L106" s="17" t="str">
        <f>HYPERLINK("https://maps.google.com/?q=17.044806688976,-96.629701605395", "🔗 Ver Mapa")</f>
        <v>🔗 Ver Mapa</v>
      </c>
    </row>
    <row r="107" spans="1:12" ht="43.5" x14ac:dyDescent="0.35">
      <c r="A107" s="5" t="s">
        <v>1</v>
      </c>
      <c r="B107" s="5" t="s">
        <v>14</v>
      </c>
      <c r="C107" s="5" t="s">
        <v>163</v>
      </c>
      <c r="D107" s="8" t="s">
        <v>61</v>
      </c>
      <c r="E107" s="16" t="s">
        <v>164</v>
      </c>
      <c r="F107" s="16" t="s">
        <v>165</v>
      </c>
      <c r="G107" s="8" t="s">
        <v>166</v>
      </c>
      <c r="H107" s="8" t="s">
        <v>167</v>
      </c>
      <c r="I107" s="16" t="s">
        <v>138</v>
      </c>
      <c r="J107" s="16">
        <v>17.844574201973</v>
      </c>
      <c r="K107" s="16">
        <v>-96.888819372675997</v>
      </c>
      <c r="L107" s="16" t="str">
        <f>HYPERLINK("https://maps.google.com/?q=17.844574201973,-96.888819372676", "🔗 Ver Mapa")</f>
        <v>🔗 Ver Mapa</v>
      </c>
    </row>
    <row r="108" spans="1:12" ht="58" x14ac:dyDescent="0.35">
      <c r="A108" s="6" t="s">
        <v>1</v>
      </c>
      <c r="B108" s="6" t="s">
        <v>14</v>
      </c>
      <c r="C108" s="6" t="s">
        <v>168</v>
      </c>
      <c r="D108" s="11" t="s">
        <v>61</v>
      </c>
      <c r="E108" s="17" t="s">
        <v>75</v>
      </c>
      <c r="F108" s="17" t="s">
        <v>156</v>
      </c>
      <c r="G108" s="11" t="s">
        <v>169</v>
      </c>
      <c r="H108" s="11" t="s">
        <v>170</v>
      </c>
      <c r="I108" s="17" t="s">
        <v>138</v>
      </c>
      <c r="J108" s="17">
        <v>16.508777895493999</v>
      </c>
      <c r="K108" s="17">
        <v>-96.794731685555007</v>
      </c>
      <c r="L108" s="17" t="str">
        <f>HYPERLINK("https://maps.google.com/?q=16.508777895494,-96.794731685555", "🔗 Ver Mapa")</f>
        <v>🔗 Ver Mapa</v>
      </c>
    </row>
    <row r="109" spans="1:12" ht="58" x14ac:dyDescent="0.35">
      <c r="A109" s="5" t="s">
        <v>1</v>
      </c>
      <c r="B109" s="5" t="s">
        <v>14</v>
      </c>
      <c r="C109" s="5" t="s">
        <v>171</v>
      </c>
      <c r="D109" s="8" t="s">
        <v>61</v>
      </c>
      <c r="E109" s="16" t="s">
        <v>164</v>
      </c>
      <c r="F109" s="16" t="s">
        <v>165</v>
      </c>
      <c r="G109" s="8" t="s">
        <v>172</v>
      </c>
      <c r="H109" s="8" t="s">
        <v>173</v>
      </c>
      <c r="I109" s="16" t="s">
        <v>138</v>
      </c>
      <c r="J109" s="16">
        <v>17.688187897843001</v>
      </c>
      <c r="K109" s="16">
        <v>-97.035911876542002</v>
      </c>
      <c r="L109" s="16" t="str">
        <f>HYPERLINK("https://maps.google.com/?q=17.688187897843,-97.035911876542", "🔗 Ver Mapa")</f>
        <v>🔗 Ver Mapa</v>
      </c>
    </row>
    <row r="110" spans="1:12" ht="58" x14ac:dyDescent="0.35">
      <c r="A110" s="6" t="s">
        <v>1</v>
      </c>
      <c r="B110" s="6" t="s">
        <v>14</v>
      </c>
      <c r="C110" s="6" t="s">
        <v>174</v>
      </c>
      <c r="D110" s="11" t="s">
        <v>61</v>
      </c>
      <c r="E110" s="17" t="s">
        <v>75</v>
      </c>
      <c r="F110" s="17" t="s">
        <v>84</v>
      </c>
      <c r="G110" s="11" t="s">
        <v>175</v>
      </c>
      <c r="H110" s="11" t="s">
        <v>176</v>
      </c>
      <c r="I110" s="17" t="s">
        <v>138</v>
      </c>
      <c r="J110" s="17">
        <v>17.002037049493001</v>
      </c>
      <c r="K110" s="17">
        <v>-96.598755365132007</v>
      </c>
      <c r="L110" s="17" t="str">
        <f>HYPERLINK("https://maps.google.com/?q=17.002037049493,-96.598755365132", "🔗 Ver Mapa")</f>
        <v>🔗 Ver Mapa</v>
      </c>
    </row>
    <row r="111" spans="1:12" ht="58" x14ac:dyDescent="0.35">
      <c r="A111" s="5" t="s">
        <v>1</v>
      </c>
      <c r="B111" s="5" t="s">
        <v>14</v>
      </c>
      <c r="C111" s="5" t="s">
        <v>177</v>
      </c>
      <c r="D111" s="8" t="s">
        <v>61</v>
      </c>
      <c r="E111" s="16" t="s">
        <v>74</v>
      </c>
      <c r="F111" s="16" t="s">
        <v>82</v>
      </c>
      <c r="G111" s="8" t="s">
        <v>113</v>
      </c>
      <c r="H111" s="8" t="s">
        <v>178</v>
      </c>
      <c r="I111" s="16" t="s">
        <v>138</v>
      </c>
      <c r="J111" s="16">
        <v>16.540577784738002</v>
      </c>
      <c r="K111" s="16">
        <v>-98.063523811625004</v>
      </c>
      <c r="L111" s="16" t="str">
        <f>HYPERLINK("https://maps.google.com/?q=16.540577784738,-98.063523811625", "🔗 Ver Mapa")</f>
        <v>🔗 Ver Mapa</v>
      </c>
    </row>
    <row r="112" spans="1:12" ht="58" x14ac:dyDescent="0.35">
      <c r="A112" s="6" t="s">
        <v>1</v>
      </c>
      <c r="B112" s="6" t="s">
        <v>14</v>
      </c>
      <c r="C112" s="6" t="s">
        <v>179</v>
      </c>
      <c r="D112" s="11" t="s">
        <v>61</v>
      </c>
      <c r="E112" s="17" t="s">
        <v>73</v>
      </c>
      <c r="F112" s="17" t="s">
        <v>83</v>
      </c>
      <c r="G112" s="11" t="s">
        <v>97</v>
      </c>
      <c r="H112" s="11" t="s">
        <v>180</v>
      </c>
      <c r="I112" s="17" t="s">
        <v>138</v>
      </c>
      <c r="J112" s="17">
        <v>17.147146502498</v>
      </c>
      <c r="K112" s="17">
        <v>-97.760764557534003</v>
      </c>
      <c r="L112" s="17" t="str">
        <f>HYPERLINK("https://maps.google.com/?q=17.147146502498,-97.760764557534", "🔗 Ver Mapa")</f>
        <v>🔗 Ver Mapa</v>
      </c>
    </row>
    <row r="113" spans="1:12" ht="58" x14ac:dyDescent="0.35">
      <c r="A113" s="5" t="s">
        <v>1</v>
      </c>
      <c r="B113" s="5" t="s">
        <v>14</v>
      </c>
      <c r="C113" s="5" t="s">
        <v>181</v>
      </c>
      <c r="D113" s="8" t="s">
        <v>61</v>
      </c>
      <c r="E113" s="16" t="s">
        <v>78</v>
      </c>
      <c r="F113" s="16" t="s">
        <v>182</v>
      </c>
      <c r="G113" s="8" t="s">
        <v>183</v>
      </c>
      <c r="H113" s="8" t="s">
        <v>184</v>
      </c>
      <c r="I113" s="16" t="s">
        <v>138</v>
      </c>
      <c r="J113" s="16">
        <v>17.308453989853</v>
      </c>
      <c r="K113" s="16">
        <v>-96.167171211660005</v>
      </c>
      <c r="L113" s="16" t="str">
        <f>HYPERLINK("https://maps.google.com/?q=17.308453989853,-96.16717121166", "🔗 Ver Mapa")</f>
        <v>🔗 Ver Mapa</v>
      </c>
    </row>
    <row r="114" spans="1:12" ht="58" x14ac:dyDescent="0.35">
      <c r="A114" s="6" t="s">
        <v>1</v>
      </c>
      <c r="B114" s="6" t="s">
        <v>14</v>
      </c>
      <c r="C114" s="6" t="s">
        <v>185</v>
      </c>
      <c r="D114" s="11" t="s">
        <v>61</v>
      </c>
      <c r="E114" s="17" t="s">
        <v>74</v>
      </c>
      <c r="F114" s="17" t="s">
        <v>82</v>
      </c>
      <c r="G114" s="11" t="s">
        <v>113</v>
      </c>
      <c r="H114" s="11" t="s">
        <v>178</v>
      </c>
      <c r="I114" s="17" t="s">
        <v>138</v>
      </c>
      <c r="J114" s="17">
        <v>16.542082658824</v>
      </c>
      <c r="K114" s="17">
        <v>-98.069328173342001</v>
      </c>
      <c r="L114" s="17" t="str">
        <f>HYPERLINK("https://maps.google.com/?q=16.542082658824,-98.069328173342", "🔗 Ver Mapa")</f>
        <v>🔗 Ver Mapa</v>
      </c>
    </row>
    <row r="115" spans="1:12" ht="58" x14ac:dyDescent="0.35">
      <c r="A115" s="5" t="s">
        <v>1</v>
      </c>
      <c r="B115" s="5" t="s">
        <v>14</v>
      </c>
      <c r="C115" s="5" t="s">
        <v>186</v>
      </c>
      <c r="D115" s="8" t="s">
        <v>61</v>
      </c>
      <c r="E115" s="16" t="s">
        <v>73</v>
      </c>
      <c r="F115" s="16" t="s">
        <v>187</v>
      </c>
      <c r="G115" s="8" t="s">
        <v>188</v>
      </c>
      <c r="H115" s="8" t="s">
        <v>189</v>
      </c>
      <c r="I115" s="16" t="s">
        <v>138</v>
      </c>
      <c r="J115" s="16">
        <v>17.464013944013999</v>
      </c>
      <c r="K115" s="16">
        <v>-97.280168160025994</v>
      </c>
      <c r="L115" s="16" t="str">
        <f>HYPERLINK("https://maps.google.com/?q=17.464013944014,-97.280168160026", "🔗 Ver Mapa")</f>
        <v>🔗 Ver Mapa</v>
      </c>
    </row>
    <row r="116" spans="1:12" ht="58" x14ac:dyDescent="0.35">
      <c r="A116" s="6" t="s">
        <v>1</v>
      </c>
      <c r="B116" s="6" t="s">
        <v>14</v>
      </c>
      <c r="C116" s="6" t="s">
        <v>190</v>
      </c>
      <c r="D116" s="11" t="s">
        <v>61</v>
      </c>
      <c r="E116" s="17" t="s">
        <v>164</v>
      </c>
      <c r="F116" s="17" t="s">
        <v>165</v>
      </c>
      <c r="G116" s="11" t="s">
        <v>191</v>
      </c>
      <c r="H116" s="11" t="s">
        <v>192</v>
      </c>
      <c r="I116" s="17" t="s">
        <v>138</v>
      </c>
      <c r="J116" s="17">
        <v>17.784752411888999</v>
      </c>
      <c r="K116" s="17">
        <v>-96.795815234133002</v>
      </c>
      <c r="L116" s="17" t="str">
        <f>HYPERLINK("https://maps.google.com/?q=17.784752411889,-96.795815234133", "🔗 Ver Mapa")</f>
        <v>🔗 Ver Mapa</v>
      </c>
    </row>
    <row r="117" spans="1:12" ht="58" x14ac:dyDescent="0.35">
      <c r="A117" s="5" t="s">
        <v>1</v>
      </c>
      <c r="B117" s="5" t="s">
        <v>14</v>
      </c>
      <c r="C117" s="5" t="s">
        <v>193</v>
      </c>
      <c r="D117" s="8" t="s">
        <v>61</v>
      </c>
      <c r="E117" s="16" t="s">
        <v>74</v>
      </c>
      <c r="F117" s="16" t="s">
        <v>82</v>
      </c>
      <c r="G117" s="8" t="s">
        <v>113</v>
      </c>
      <c r="H117" s="8" t="s">
        <v>178</v>
      </c>
      <c r="I117" s="16" t="s">
        <v>138</v>
      </c>
      <c r="J117" s="16">
        <v>16.543557658120999</v>
      </c>
      <c r="K117" s="16">
        <v>-98.064992363821005</v>
      </c>
      <c r="L117" s="16" t="str">
        <f>HYPERLINK("https://maps.google.com/?q=16.543557658121,-98.064992363821", "🔗 Ver Mapa")</f>
        <v>🔗 Ver Mapa</v>
      </c>
    </row>
    <row r="118" spans="1:12" ht="43.5" x14ac:dyDescent="0.35">
      <c r="A118" s="6" t="s">
        <v>1</v>
      </c>
      <c r="B118" s="6" t="s">
        <v>14</v>
      </c>
      <c r="C118" s="6" t="s">
        <v>194</v>
      </c>
      <c r="D118" s="11" t="s">
        <v>61</v>
      </c>
      <c r="E118" s="17" t="s">
        <v>79</v>
      </c>
      <c r="F118" s="17" t="s">
        <v>195</v>
      </c>
      <c r="G118" s="11" t="s">
        <v>196</v>
      </c>
      <c r="H118" s="11" t="s">
        <v>197</v>
      </c>
      <c r="I118" s="17" t="s">
        <v>138</v>
      </c>
      <c r="J118" s="17">
        <v>16.322162594702998</v>
      </c>
      <c r="K118" s="17">
        <v>-96.672585149092995</v>
      </c>
      <c r="L118" s="17" t="str">
        <f>HYPERLINK("https://maps.google.com/?q=16.322162594703,-96.672585149093", "🔗 Ver Mapa")</f>
        <v>🔗 Ver Mapa</v>
      </c>
    </row>
    <row r="119" spans="1:12" ht="58" x14ac:dyDescent="0.35">
      <c r="A119" s="5" t="s">
        <v>1</v>
      </c>
      <c r="B119" s="5" t="s">
        <v>14</v>
      </c>
      <c r="C119" s="5" t="s">
        <v>198</v>
      </c>
      <c r="D119" s="8" t="s">
        <v>61</v>
      </c>
      <c r="E119" s="16" t="s">
        <v>74</v>
      </c>
      <c r="F119" s="16" t="s">
        <v>82</v>
      </c>
      <c r="G119" s="8" t="s">
        <v>113</v>
      </c>
      <c r="H119" s="8" t="s">
        <v>178</v>
      </c>
      <c r="I119" s="16" t="s">
        <v>138</v>
      </c>
      <c r="J119" s="16">
        <v>16.541607386220999</v>
      </c>
      <c r="K119" s="16">
        <v>-98.067988681599999</v>
      </c>
      <c r="L119" s="16" t="str">
        <f>HYPERLINK("https://maps.google.com/?q=16.541607386221,-98.0679886816", "🔗 Ver Mapa")</f>
        <v>🔗 Ver Mapa</v>
      </c>
    </row>
    <row r="120" spans="1:12" ht="58" x14ac:dyDescent="0.35">
      <c r="A120" s="6" t="s">
        <v>1</v>
      </c>
      <c r="B120" s="6" t="s">
        <v>14</v>
      </c>
      <c r="C120" s="6" t="s">
        <v>199</v>
      </c>
      <c r="D120" s="11" t="s">
        <v>61</v>
      </c>
      <c r="E120" s="17" t="s">
        <v>74</v>
      </c>
      <c r="F120" s="17" t="s">
        <v>82</v>
      </c>
      <c r="G120" s="11" t="s">
        <v>113</v>
      </c>
      <c r="H120" s="11" t="s">
        <v>178</v>
      </c>
      <c r="I120" s="17" t="s">
        <v>138</v>
      </c>
      <c r="J120" s="17">
        <v>16.541393970159</v>
      </c>
      <c r="K120" s="17">
        <v>-98.063075928578996</v>
      </c>
      <c r="L120" s="17" t="str">
        <f>HYPERLINK("https://maps.google.com/?q=16.541393970159,-98.063075928579", "🔗 Ver Mapa")</f>
        <v>🔗 Ver Mapa</v>
      </c>
    </row>
    <row r="121" spans="1:12" ht="58" x14ac:dyDescent="0.35">
      <c r="A121" s="5" t="s">
        <v>1</v>
      </c>
      <c r="B121" s="5" t="s">
        <v>14</v>
      </c>
      <c r="C121" s="5" t="s">
        <v>200</v>
      </c>
      <c r="D121" s="8" t="s">
        <v>61</v>
      </c>
      <c r="E121" s="16" t="s">
        <v>77</v>
      </c>
      <c r="F121" s="16" t="s">
        <v>201</v>
      </c>
      <c r="G121" s="8" t="s">
        <v>202</v>
      </c>
      <c r="H121" s="8" t="s">
        <v>203</v>
      </c>
      <c r="I121" s="16" t="s">
        <v>138</v>
      </c>
      <c r="J121" s="16">
        <v>16.689166</v>
      </c>
      <c r="K121" s="16">
        <v>-95.526988000000003</v>
      </c>
      <c r="L121" s="16" t="str">
        <f>HYPERLINK("https://maps.google.com/?q=16.689166,-95.526988", "🔗 Ver Mapa")</f>
        <v>🔗 Ver Mapa</v>
      </c>
    </row>
    <row r="122" spans="1:12" ht="58" x14ac:dyDescent="0.35">
      <c r="A122" s="6" t="s">
        <v>1</v>
      </c>
      <c r="B122" s="6" t="s">
        <v>14</v>
      </c>
      <c r="C122" s="6" t="s">
        <v>204</v>
      </c>
      <c r="D122" s="11" t="s">
        <v>61</v>
      </c>
      <c r="E122" s="17" t="s">
        <v>75</v>
      </c>
      <c r="F122" s="17" t="s">
        <v>84</v>
      </c>
      <c r="G122" s="11" t="s">
        <v>98</v>
      </c>
      <c r="H122" s="11" t="s">
        <v>205</v>
      </c>
      <c r="I122" s="17" t="s">
        <v>138</v>
      </c>
      <c r="J122" s="17">
        <v>16.871191162013002</v>
      </c>
      <c r="K122" s="17">
        <v>-96.375837550610001</v>
      </c>
      <c r="L122" s="17" t="str">
        <f>HYPERLINK("https://maps.google.com/?q=16.871191162013,-96.37583755061", "🔗 Ver Mapa")</f>
        <v>🔗 Ver Mapa</v>
      </c>
    </row>
    <row r="123" spans="1:12" ht="43.5" x14ac:dyDescent="0.35">
      <c r="A123" s="5" t="s">
        <v>206</v>
      </c>
      <c r="B123" s="5" t="s">
        <v>207</v>
      </c>
      <c r="C123" s="5" t="s">
        <v>208</v>
      </c>
      <c r="D123" s="8" t="s">
        <v>66</v>
      </c>
      <c r="E123" s="16" t="s">
        <v>77</v>
      </c>
      <c r="F123" s="16" t="s">
        <v>88</v>
      </c>
      <c r="G123" s="8" t="s">
        <v>209</v>
      </c>
      <c r="H123" s="8" t="s">
        <v>210</v>
      </c>
      <c r="I123" s="16" t="s">
        <v>138</v>
      </c>
      <c r="J123" s="16">
        <v>16.588495999999999</v>
      </c>
      <c r="K123" s="16">
        <v>-94.768595000000005</v>
      </c>
      <c r="L123" s="16" t="str">
        <f>HYPERLINK("https://maps.google.com/?q=16.588496,-94.768595", "🔗 Ver Mapa")</f>
        <v>🔗 Ver Mapa</v>
      </c>
    </row>
    <row r="124" spans="1:12" ht="43.5" x14ac:dyDescent="0.35">
      <c r="A124" s="6" t="s">
        <v>7</v>
      </c>
      <c r="B124" s="6" t="s">
        <v>20</v>
      </c>
      <c r="C124" s="6" t="s">
        <v>211</v>
      </c>
      <c r="D124" s="11" t="s">
        <v>67</v>
      </c>
      <c r="E124" s="17" t="s">
        <v>73</v>
      </c>
      <c r="F124" s="17" t="s">
        <v>83</v>
      </c>
      <c r="G124" s="11" t="s">
        <v>212</v>
      </c>
      <c r="H124" s="11" t="s">
        <v>213</v>
      </c>
      <c r="I124" s="17" t="s">
        <v>138</v>
      </c>
      <c r="J124" s="17">
        <v>17.271954000000001</v>
      </c>
      <c r="K124" s="17">
        <v>-97.672184999999999</v>
      </c>
      <c r="L124" s="17" t="str">
        <f>HYPERLINK("https://maps.google.com/?q=17.271954,-97.672185", "🔗 Ver Mapa")</f>
        <v>🔗 Ver Mapa</v>
      </c>
    </row>
    <row r="125" spans="1:12" ht="43.5" x14ac:dyDescent="0.35">
      <c r="A125" s="5" t="s">
        <v>7</v>
      </c>
      <c r="B125" s="5" t="s">
        <v>20</v>
      </c>
      <c r="C125" s="5" t="s">
        <v>211</v>
      </c>
      <c r="D125" s="8" t="s">
        <v>67</v>
      </c>
      <c r="E125" s="16" t="s">
        <v>73</v>
      </c>
      <c r="F125" s="16" t="s">
        <v>83</v>
      </c>
      <c r="G125" s="8" t="s">
        <v>212</v>
      </c>
      <c r="H125" s="8" t="s">
        <v>213</v>
      </c>
      <c r="I125" s="16" t="s">
        <v>138</v>
      </c>
      <c r="J125" s="16">
        <v>17.272127000000001</v>
      </c>
      <c r="K125" s="16">
        <v>-97.672362000000007</v>
      </c>
      <c r="L125" s="16" t="str">
        <f>HYPERLINK("https://maps.google.com/?q=17.272127,-97.672362", "🔗 Ver Mapa")</f>
        <v>🔗 Ver Mapa</v>
      </c>
    </row>
    <row r="126" spans="1:12" ht="43.5" x14ac:dyDescent="0.35">
      <c r="A126" s="6" t="s">
        <v>7</v>
      </c>
      <c r="B126" s="6" t="s">
        <v>20</v>
      </c>
      <c r="C126" s="6" t="s">
        <v>211</v>
      </c>
      <c r="D126" s="11" t="s">
        <v>67</v>
      </c>
      <c r="E126" s="17" t="s">
        <v>73</v>
      </c>
      <c r="F126" s="17" t="s">
        <v>83</v>
      </c>
      <c r="G126" s="11" t="s">
        <v>212</v>
      </c>
      <c r="H126" s="11" t="s">
        <v>213</v>
      </c>
      <c r="I126" s="17" t="s">
        <v>138</v>
      </c>
      <c r="J126" s="17">
        <v>17.272335000000002</v>
      </c>
      <c r="K126" s="17">
        <v>-97.672454999999999</v>
      </c>
      <c r="L126" s="17" t="str">
        <f>HYPERLINK("https://maps.google.com/?q=17.272335,-97.672455", "🔗 Ver Mapa")</f>
        <v>🔗 Ver Mapa</v>
      </c>
    </row>
    <row r="127" spans="1:12" ht="43.5" x14ac:dyDescent="0.35">
      <c r="A127" s="5" t="s">
        <v>7</v>
      </c>
      <c r="B127" s="5" t="s">
        <v>20</v>
      </c>
      <c r="C127" s="5" t="s">
        <v>211</v>
      </c>
      <c r="D127" s="8" t="s">
        <v>67</v>
      </c>
      <c r="E127" s="16" t="s">
        <v>73</v>
      </c>
      <c r="F127" s="16" t="s">
        <v>83</v>
      </c>
      <c r="G127" s="8" t="s">
        <v>212</v>
      </c>
      <c r="H127" s="8" t="s">
        <v>213</v>
      </c>
      <c r="I127" s="16" t="s">
        <v>138</v>
      </c>
      <c r="J127" s="16">
        <v>17.272562000000001</v>
      </c>
      <c r="K127" s="16">
        <v>-97.672518999999994</v>
      </c>
      <c r="L127" s="16" t="str">
        <f>HYPERLINK("https://maps.google.com/?q=17.272562,-97.672519", "🔗 Ver Mapa")</f>
        <v>🔗 Ver Mapa</v>
      </c>
    </row>
    <row r="128" spans="1:12" ht="43.5" x14ac:dyDescent="0.35">
      <c r="A128" s="6" t="s">
        <v>7</v>
      </c>
      <c r="B128" s="6" t="s">
        <v>20</v>
      </c>
      <c r="C128" s="6" t="s">
        <v>211</v>
      </c>
      <c r="D128" s="11" t="s">
        <v>67</v>
      </c>
      <c r="E128" s="17" t="s">
        <v>73</v>
      </c>
      <c r="F128" s="17" t="s">
        <v>83</v>
      </c>
      <c r="G128" s="11" t="s">
        <v>212</v>
      </c>
      <c r="H128" s="11" t="s">
        <v>213</v>
      </c>
      <c r="I128" s="17" t="s">
        <v>138</v>
      </c>
      <c r="J128" s="17">
        <v>17.272787999999998</v>
      </c>
      <c r="K128" s="17">
        <v>-97.672563999999994</v>
      </c>
      <c r="L128" s="17" t="str">
        <f>HYPERLINK("https://maps.google.com/?q=17.272788,-97.672564", "🔗 Ver Mapa")</f>
        <v>🔗 Ver Mapa</v>
      </c>
    </row>
    <row r="129" spans="1:12" ht="43.5" x14ac:dyDescent="0.35">
      <c r="A129" s="5" t="s">
        <v>7</v>
      </c>
      <c r="B129" s="5" t="s">
        <v>20</v>
      </c>
      <c r="C129" s="5" t="s">
        <v>211</v>
      </c>
      <c r="D129" s="8" t="s">
        <v>67</v>
      </c>
      <c r="E129" s="16" t="s">
        <v>73</v>
      </c>
      <c r="F129" s="16" t="s">
        <v>83</v>
      </c>
      <c r="G129" s="8" t="s">
        <v>212</v>
      </c>
      <c r="H129" s="8" t="s">
        <v>213</v>
      </c>
      <c r="I129" s="16" t="s">
        <v>138</v>
      </c>
      <c r="J129" s="16">
        <v>17.273014</v>
      </c>
      <c r="K129" s="16">
        <v>-97.672572000000002</v>
      </c>
      <c r="L129" s="16" t="str">
        <f>HYPERLINK("https://maps.google.com/?q=17.273014,-97.672572", "🔗 Ver Mapa")</f>
        <v>🔗 Ver Mapa</v>
      </c>
    </row>
    <row r="130" spans="1:12" ht="43.5" x14ac:dyDescent="0.35">
      <c r="A130" s="6" t="s">
        <v>7</v>
      </c>
      <c r="B130" s="6" t="s">
        <v>20</v>
      </c>
      <c r="C130" s="6" t="s">
        <v>211</v>
      </c>
      <c r="D130" s="11" t="s">
        <v>67</v>
      </c>
      <c r="E130" s="17" t="s">
        <v>73</v>
      </c>
      <c r="F130" s="17" t="s">
        <v>83</v>
      </c>
      <c r="G130" s="11" t="s">
        <v>212</v>
      </c>
      <c r="H130" s="11" t="s">
        <v>213</v>
      </c>
      <c r="I130" s="17" t="s">
        <v>138</v>
      </c>
      <c r="J130" s="17">
        <v>17.273257999999998</v>
      </c>
      <c r="K130" s="17">
        <v>-97.672607999999997</v>
      </c>
      <c r="L130" s="17" t="str">
        <f>HYPERLINK("https://maps.google.com/?q=17.273258,-97.672608", "🔗 Ver Mapa")</f>
        <v>🔗 Ver Mapa</v>
      </c>
    </row>
    <row r="131" spans="1:12" ht="43.5" x14ac:dyDescent="0.35">
      <c r="A131" s="5" t="s">
        <v>7</v>
      </c>
      <c r="B131" s="5" t="s">
        <v>20</v>
      </c>
      <c r="C131" s="5" t="s">
        <v>211</v>
      </c>
      <c r="D131" s="8" t="s">
        <v>67</v>
      </c>
      <c r="E131" s="16" t="s">
        <v>73</v>
      </c>
      <c r="F131" s="16" t="s">
        <v>83</v>
      </c>
      <c r="G131" s="8" t="s">
        <v>212</v>
      </c>
      <c r="H131" s="8" t="s">
        <v>213</v>
      </c>
      <c r="I131" s="16" t="s">
        <v>138</v>
      </c>
      <c r="J131" s="16">
        <v>17.273475000000001</v>
      </c>
      <c r="K131" s="16">
        <v>-97.672588000000005</v>
      </c>
      <c r="L131" s="16" t="str">
        <f>HYPERLINK("https://maps.google.com/?q=17.273475,-97.672588", "🔗 Ver Mapa")</f>
        <v>🔗 Ver Mapa</v>
      </c>
    </row>
    <row r="132" spans="1:12" ht="43.5" x14ac:dyDescent="0.35">
      <c r="A132" s="6" t="s">
        <v>7</v>
      </c>
      <c r="B132" s="6" t="s">
        <v>20</v>
      </c>
      <c r="C132" s="6" t="s">
        <v>211</v>
      </c>
      <c r="D132" s="11" t="s">
        <v>67</v>
      </c>
      <c r="E132" s="17" t="s">
        <v>73</v>
      </c>
      <c r="F132" s="17" t="s">
        <v>83</v>
      </c>
      <c r="G132" s="11" t="s">
        <v>212</v>
      </c>
      <c r="H132" s="11" t="s">
        <v>213</v>
      </c>
      <c r="I132" s="17" t="s">
        <v>138</v>
      </c>
      <c r="J132" s="17">
        <v>17.273700999999999</v>
      </c>
      <c r="K132" s="17">
        <v>-97.672539</v>
      </c>
      <c r="L132" s="17" t="str">
        <f>HYPERLINK("https://maps.google.com/?q=17.273701,-97.672539", "🔗 Ver Mapa")</f>
        <v>🔗 Ver Mapa</v>
      </c>
    </row>
    <row r="133" spans="1:12" ht="43.5" x14ac:dyDescent="0.35">
      <c r="A133" s="5" t="s">
        <v>7</v>
      </c>
      <c r="B133" s="5" t="s">
        <v>20</v>
      </c>
      <c r="C133" s="5" t="s">
        <v>211</v>
      </c>
      <c r="D133" s="8" t="s">
        <v>67</v>
      </c>
      <c r="E133" s="16" t="s">
        <v>73</v>
      </c>
      <c r="F133" s="16" t="s">
        <v>83</v>
      </c>
      <c r="G133" s="8" t="s">
        <v>212</v>
      </c>
      <c r="H133" s="8" t="s">
        <v>213</v>
      </c>
      <c r="I133" s="16" t="s">
        <v>138</v>
      </c>
      <c r="J133" s="16">
        <v>17.273917000000001</v>
      </c>
      <c r="K133" s="16">
        <v>-97.672471999999999</v>
      </c>
      <c r="L133" s="16" t="str">
        <f>HYPERLINK("https://maps.google.com/?q=17.273917,-97.672472", "🔗 Ver Mapa")</f>
        <v>🔗 Ver Mapa</v>
      </c>
    </row>
    <row r="134" spans="1:12" ht="43.5" x14ac:dyDescent="0.35">
      <c r="A134" s="6" t="s">
        <v>7</v>
      </c>
      <c r="B134" s="6" t="s">
        <v>20</v>
      </c>
      <c r="C134" s="6" t="s">
        <v>211</v>
      </c>
      <c r="D134" s="11" t="s">
        <v>67</v>
      </c>
      <c r="E134" s="17" t="s">
        <v>73</v>
      </c>
      <c r="F134" s="17" t="s">
        <v>83</v>
      </c>
      <c r="G134" s="11" t="s">
        <v>212</v>
      </c>
      <c r="H134" s="11" t="s">
        <v>213</v>
      </c>
      <c r="I134" s="17" t="s">
        <v>138</v>
      </c>
      <c r="J134" s="17">
        <v>17.274061</v>
      </c>
      <c r="K134" s="17">
        <v>-97.672386000000003</v>
      </c>
      <c r="L134" s="17" t="str">
        <f>HYPERLINK("https://maps.google.com/?q=17.274061,-97.672386", "🔗 Ver Mapa")</f>
        <v>🔗 Ver Mapa</v>
      </c>
    </row>
    <row r="135" spans="1:12" ht="43.5" x14ac:dyDescent="0.35">
      <c r="A135" s="5" t="s">
        <v>7</v>
      </c>
      <c r="B135" s="5" t="s">
        <v>20</v>
      </c>
      <c r="C135" s="5" t="s">
        <v>214</v>
      </c>
      <c r="D135" s="8" t="s">
        <v>67</v>
      </c>
      <c r="E135" s="16" t="s">
        <v>73</v>
      </c>
      <c r="F135" s="16" t="s">
        <v>83</v>
      </c>
      <c r="G135" s="8" t="s">
        <v>212</v>
      </c>
      <c r="H135" s="8" t="s">
        <v>215</v>
      </c>
      <c r="I135" s="16" t="s">
        <v>138</v>
      </c>
      <c r="J135" s="16">
        <v>17.267969999999998</v>
      </c>
      <c r="K135" s="16">
        <v>-97.673775000000006</v>
      </c>
      <c r="L135" s="16" t="str">
        <f>HYPERLINK("https://maps.google.com/?q=17.26797,-97.673775", "🔗 Ver Mapa")</f>
        <v>🔗 Ver Mapa</v>
      </c>
    </row>
    <row r="136" spans="1:12" ht="43.5" x14ac:dyDescent="0.35">
      <c r="A136" s="6" t="s">
        <v>7</v>
      </c>
      <c r="B136" s="6" t="s">
        <v>20</v>
      </c>
      <c r="C136" s="6" t="s">
        <v>214</v>
      </c>
      <c r="D136" s="11" t="s">
        <v>67</v>
      </c>
      <c r="E136" s="17" t="s">
        <v>73</v>
      </c>
      <c r="F136" s="17" t="s">
        <v>83</v>
      </c>
      <c r="G136" s="11" t="s">
        <v>212</v>
      </c>
      <c r="H136" s="11" t="s">
        <v>215</v>
      </c>
      <c r="I136" s="17" t="s">
        <v>138</v>
      </c>
      <c r="J136" s="17">
        <v>17.268063000000001</v>
      </c>
      <c r="K136" s="17">
        <v>-97.674169000000006</v>
      </c>
      <c r="L136" s="17" t="str">
        <f>HYPERLINK("https://maps.google.com/?q=17.268063,-97.674169", "🔗 Ver Mapa")</f>
        <v>🔗 Ver Mapa</v>
      </c>
    </row>
    <row r="137" spans="1:12" ht="43.5" x14ac:dyDescent="0.35">
      <c r="A137" s="5" t="s">
        <v>7</v>
      </c>
      <c r="B137" s="5" t="s">
        <v>20</v>
      </c>
      <c r="C137" s="5" t="s">
        <v>214</v>
      </c>
      <c r="D137" s="8" t="s">
        <v>67</v>
      </c>
      <c r="E137" s="16" t="s">
        <v>73</v>
      </c>
      <c r="F137" s="16" t="s">
        <v>83</v>
      </c>
      <c r="G137" s="8" t="s">
        <v>212</v>
      </c>
      <c r="H137" s="8" t="s">
        <v>215</v>
      </c>
      <c r="I137" s="16" t="s">
        <v>138</v>
      </c>
      <c r="J137" s="16">
        <v>17.268222999999999</v>
      </c>
      <c r="K137" s="16">
        <v>-97.673687999999999</v>
      </c>
      <c r="L137" s="16" t="str">
        <f>HYPERLINK("https://maps.google.com/?q=17.268223,-97.673688", "🔗 Ver Mapa")</f>
        <v>🔗 Ver Mapa</v>
      </c>
    </row>
    <row r="138" spans="1:12" ht="43.5" x14ac:dyDescent="0.35">
      <c r="A138" s="6" t="s">
        <v>7</v>
      </c>
      <c r="B138" s="6" t="s">
        <v>20</v>
      </c>
      <c r="C138" s="6" t="s">
        <v>214</v>
      </c>
      <c r="D138" s="11" t="s">
        <v>67</v>
      </c>
      <c r="E138" s="17" t="s">
        <v>73</v>
      </c>
      <c r="F138" s="17" t="s">
        <v>83</v>
      </c>
      <c r="G138" s="11" t="s">
        <v>212</v>
      </c>
      <c r="H138" s="11" t="s">
        <v>215</v>
      </c>
      <c r="I138" s="17" t="s">
        <v>138</v>
      </c>
      <c r="J138" s="17">
        <v>17.268305999999999</v>
      </c>
      <c r="K138" s="17">
        <v>-97.674045000000007</v>
      </c>
      <c r="L138" s="17" t="str">
        <f>HYPERLINK("https://maps.google.com/?q=17.268306,-97.674045", "🔗 Ver Mapa")</f>
        <v>🔗 Ver Mapa</v>
      </c>
    </row>
    <row r="139" spans="1:12" ht="43.5" x14ac:dyDescent="0.35">
      <c r="A139" s="5" t="s">
        <v>7</v>
      </c>
      <c r="B139" s="5" t="s">
        <v>20</v>
      </c>
      <c r="C139" s="5" t="s">
        <v>214</v>
      </c>
      <c r="D139" s="8" t="s">
        <v>67</v>
      </c>
      <c r="E139" s="16" t="s">
        <v>73</v>
      </c>
      <c r="F139" s="16" t="s">
        <v>83</v>
      </c>
      <c r="G139" s="8" t="s">
        <v>212</v>
      </c>
      <c r="H139" s="8" t="s">
        <v>215</v>
      </c>
      <c r="I139" s="16" t="s">
        <v>138</v>
      </c>
      <c r="J139" s="16">
        <v>17.268474999999999</v>
      </c>
      <c r="K139" s="16">
        <v>-97.673563999999999</v>
      </c>
      <c r="L139" s="16" t="str">
        <f>HYPERLINK("https://maps.google.com/?q=17.268475,-97.673564", "🔗 Ver Mapa")</f>
        <v>🔗 Ver Mapa</v>
      </c>
    </row>
    <row r="140" spans="1:12" ht="43.5" x14ac:dyDescent="0.35">
      <c r="A140" s="6" t="s">
        <v>7</v>
      </c>
      <c r="B140" s="6" t="s">
        <v>20</v>
      </c>
      <c r="C140" s="6" t="s">
        <v>214</v>
      </c>
      <c r="D140" s="11" t="s">
        <v>67</v>
      </c>
      <c r="E140" s="17" t="s">
        <v>73</v>
      </c>
      <c r="F140" s="17" t="s">
        <v>83</v>
      </c>
      <c r="G140" s="11" t="s">
        <v>212</v>
      </c>
      <c r="H140" s="11" t="s">
        <v>215</v>
      </c>
      <c r="I140" s="17" t="s">
        <v>138</v>
      </c>
      <c r="J140" s="17">
        <v>17.268559</v>
      </c>
      <c r="K140" s="17">
        <v>-97.673940000000002</v>
      </c>
      <c r="L140" s="17" t="str">
        <f>HYPERLINK("https://maps.google.com/?q=17.268559,-97.67394", "🔗 Ver Mapa")</f>
        <v>🔗 Ver Mapa</v>
      </c>
    </row>
    <row r="141" spans="1:12" ht="43.5" x14ac:dyDescent="0.35">
      <c r="A141" s="5" t="s">
        <v>7</v>
      </c>
      <c r="B141" s="5" t="s">
        <v>20</v>
      </c>
      <c r="C141" s="5" t="s">
        <v>214</v>
      </c>
      <c r="D141" s="8" t="s">
        <v>67</v>
      </c>
      <c r="E141" s="16" t="s">
        <v>73</v>
      </c>
      <c r="F141" s="16" t="s">
        <v>83</v>
      </c>
      <c r="G141" s="8" t="s">
        <v>212</v>
      </c>
      <c r="H141" s="8" t="s">
        <v>215</v>
      </c>
      <c r="I141" s="16" t="s">
        <v>138</v>
      </c>
      <c r="J141" s="16">
        <v>17.268699999999999</v>
      </c>
      <c r="K141" s="16">
        <v>-97.673439999999999</v>
      </c>
      <c r="L141" s="16" t="str">
        <f>HYPERLINK("https://maps.google.com/?q=17.2687,-97.67344", "🔗 Ver Mapa")</f>
        <v>🔗 Ver Mapa</v>
      </c>
    </row>
    <row r="142" spans="1:12" ht="43.5" x14ac:dyDescent="0.35">
      <c r="A142" s="6" t="s">
        <v>7</v>
      </c>
      <c r="B142" s="6" t="s">
        <v>20</v>
      </c>
      <c r="C142" s="6" t="s">
        <v>214</v>
      </c>
      <c r="D142" s="11" t="s">
        <v>67</v>
      </c>
      <c r="E142" s="17" t="s">
        <v>73</v>
      </c>
      <c r="F142" s="17" t="s">
        <v>83</v>
      </c>
      <c r="G142" s="11" t="s">
        <v>212</v>
      </c>
      <c r="H142" s="11" t="s">
        <v>215</v>
      </c>
      <c r="I142" s="17" t="s">
        <v>138</v>
      </c>
      <c r="J142" s="17">
        <v>17.268810999999999</v>
      </c>
      <c r="K142" s="17">
        <v>-97.673844000000003</v>
      </c>
      <c r="L142" s="17" t="str">
        <f>HYPERLINK("https://maps.google.com/?q=17.268811,-97.673844", "🔗 Ver Mapa")</f>
        <v>🔗 Ver Mapa</v>
      </c>
    </row>
    <row r="143" spans="1:12" ht="43.5" x14ac:dyDescent="0.35">
      <c r="A143" s="5" t="s">
        <v>7</v>
      </c>
      <c r="B143" s="5" t="s">
        <v>20</v>
      </c>
      <c r="C143" s="5" t="s">
        <v>214</v>
      </c>
      <c r="D143" s="8" t="s">
        <v>67</v>
      </c>
      <c r="E143" s="16" t="s">
        <v>73</v>
      </c>
      <c r="F143" s="16" t="s">
        <v>83</v>
      </c>
      <c r="G143" s="8" t="s">
        <v>212</v>
      </c>
      <c r="H143" s="8" t="s">
        <v>215</v>
      </c>
      <c r="I143" s="16" t="s">
        <v>138</v>
      </c>
      <c r="J143" s="16">
        <v>17.268971000000001</v>
      </c>
      <c r="K143" s="16">
        <v>-97.673467000000002</v>
      </c>
      <c r="L143" s="16" t="str">
        <f>HYPERLINK("https://maps.google.com/?q=17.268971,-97.673467", "🔗 Ver Mapa")</f>
        <v>🔗 Ver Mapa</v>
      </c>
    </row>
    <row r="144" spans="1:12" ht="43.5" x14ac:dyDescent="0.35">
      <c r="A144" s="6" t="s">
        <v>7</v>
      </c>
      <c r="B144" s="6" t="s">
        <v>20</v>
      </c>
      <c r="C144" s="6" t="s">
        <v>214</v>
      </c>
      <c r="D144" s="11" t="s">
        <v>67</v>
      </c>
      <c r="E144" s="17" t="s">
        <v>73</v>
      </c>
      <c r="F144" s="17" t="s">
        <v>83</v>
      </c>
      <c r="G144" s="11" t="s">
        <v>212</v>
      </c>
      <c r="H144" s="11" t="s">
        <v>215</v>
      </c>
      <c r="I144" s="17" t="s">
        <v>138</v>
      </c>
      <c r="J144" s="17">
        <v>17.269055000000002</v>
      </c>
      <c r="K144" s="17">
        <v>-97.673879999999997</v>
      </c>
      <c r="L144" s="17" t="str">
        <f>HYPERLINK("https://maps.google.com/?q=17.269055,-97.67388", "🔗 Ver Mapa")</f>
        <v>🔗 Ver Mapa</v>
      </c>
    </row>
    <row r="145" spans="1:12" ht="43.5" x14ac:dyDescent="0.35">
      <c r="A145" s="5" t="s">
        <v>7</v>
      </c>
      <c r="B145" s="5" t="s">
        <v>20</v>
      </c>
      <c r="C145" s="5" t="s">
        <v>214</v>
      </c>
      <c r="D145" s="8" t="s">
        <v>67</v>
      </c>
      <c r="E145" s="16" t="s">
        <v>73</v>
      </c>
      <c r="F145" s="16" t="s">
        <v>83</v>
      </c>
      <c r="G145" s="8" t="s">
        <v>212</v>
      </c>
      <c r="H145" s="8" t="s">
        <v>215</v>
      </c>
      <c r="I145" s="16" t="s">
        <v>138</v>
      </c>
      <c r="J145" s="16">
        <v>17.269216</v>
      </c>
      <c r="K145" s="16">
        <v>-97.673596000000003</v>
      </c>
      <c r="L145" s="16" t="str">
        <f>HYPERLINK("https://maps.google.com/?q=17.269216,-97.673596", "🔗 Ver Mapa")</f>
        <v>🔗 Ver Mapa</v>
      </c>
    </row>
    <row r="146" spans="1:12" ht="43.5" x14ac:dyDescent="0.35">
      <c r="A146" s="6" t="s">
        <v>7</v>
      </c>
      <c r="B146" s="6" t="s">
        <v>20</v>
      </c>
      <c r="C146" s="6" t="s">
        <v>214</v>
      </c>
      <c r="D146" s="11" t="s">
        <v>67</v>
      </c>
      <c r="E146" s="17" t="s">
        <v>73</v>
      </c>
      <c r="F146" s="17" t="s">
        <v>83</v>
      </c>
      <c r="G146" s="11" t="s">
        <v>212</v>
      </c>
      <c r="H146" s="11" t="s">
        <v>215</v>
      </c>
      <c r="I146" s="17" t="s">
        <v>138</v>
      </c>
      <c r="J146" s="17">
        <v>17.269290999999999</v>
      </c>
      <c r="K146" s="17">
        <v>-97.674019000000001</v>
      </c>
      <c r="L146" s="17" t="str">
        <f>HYPERLINK("https://maps.google.com/?q=17.269291,-97.674019", "🔗 Ver Mapa")</f>
        <v>🔗 Ver Mapa</v>
      </c>
    </row>
    <row r="147" spans="1:12" ht="43.5" x14ac:dyDescent="0.35">
      <c r="A147" s="5" t="s">
        <v>7</v>
      </c>
      <c r="B147" s="5" t="s">
        <v>20</v>
      </c>
      <c r="C147" s="5" t="s">
        <v>214</v>
      </c>
      <c r="D147" s="8" t="s">
        <v>67</v>
      </c>
      <c r="E147" s="16" t="s">
        <v>73</v>
      </c>
      <c r="F147" s="16" t="s">
        <v>83</v>
      </c>
      <c r="G147" s="8" t="s">
        <v>212</v>
      </c>
      <c r="H147" s="8" t="s">
        <v>215</v>
      </c>
      <c r="I147" s="16" t="s">
        <v>138</v>
      </c>
      <c r="J147" s="16">
        <v>17.269434</v>
      </c>
      <c r="K147" s="16">
        <v>-97.673744999999997</v>
      </c>
      <c r="L147" s="16" t="str">
        <f>HYPERLINK("https://maps.google.com/?q=17.269434,-97.673745", "🔗 Ver Mapa")</f>
        <v>🔗 Ver Mapa</v>
      </c>
    </row>
    <row r="148" spans="1:12" ht="43.5" x14ac:dyDescent="0.35">
      <c r="A148" s="6" t="s">
        <v>7</v>
      </c>
      <c r="B148" s="6" t="s">
        <v>20</v>
      </c>
      <c r="C148" s="6" t="s">
        <v>214</v>
      </c>
      <c r="D148" s="11" t="s">
        <v>67</v>
      </c>
      <c r="E148" s="17" t="s">
        <v>73</v>
      </c>
      <c r="F148" s="17" t="s">
        <v>83</v>
      </c>
      <c r="G148" s="11" t="s">
        <v>212</v>
      </c>
      <c r="H148" s="11" t="s">
        <v>215</v>
      </c>
      <c r="I148" s="17" t="s">
        <v>138</v>
      </c>
      <c r="J148" s="17">
        <v>17.269527</v>
      </c>
      <c r="K148" s="17">
        <v>-97.674167999999995</v>
      </c>
      <c r="L148" s="17" t="str">
        <f>HYPERLINK("https://maps.google.com/?q=17.269527,-97.674168", "🔗 Ver Mapa")</f>
        <v>🔗 Ver Mapa</v>
      </c>
    </row>
    <row r="149" spans="1:12" ht="43.5" x14ac:dyDescent="0.35">
      <c r="A149" s="5" t="s">
        <v>7</v>
      </c>
      <c r="B149" s="5" t="s">
        <v>20</v>
      </c>
      <c r="C149" s="5" t="s">
        <v>214</v>
      </c>
      <c r="D149" s="8" t="s">
        <v>67</v>
      </c>
      <c r="E149" s="16" t="s">
        <v>73</v>
      </c>
      <c r="F149" s="16" t="s">
        <v>83</v>
      </c>
      <c r="G149" s="8" t="s">
        <v>212</v>
      </c>
      <c r="H149" s="8" t="s">
        <v>215</v>
      </c>
      <c r="I149" s="16" t="s">
        <v>138</v>
      </c>
      <c r="J149" s="16">
        <v>17.269670000000001</v>
      </c>
      <c r="K149" s="16">
        <v>-97.673874999999995</v>
      </c>
      <c r="L149" s="16" t="str">
        <f>HYPERLINK("https://maps.google.com/?q=17.26967,-97.673875", "🔗 Ver Mapa")</f>
        <v>🔗 Ver Mapa</v>
      </c>
    </row>
    <row r="150" spans="1:12" ht="43.5" x14ac:dyDescent="0.35">
      <c r="A150" s="6" t="s">
        <v>7</v>
      </c>
      <c r="B150" s="6" t="s">
        <v>20</v>
      </c>
      <c r="C150" s="6" t="s">
        <v>214</v>
      </c>
      <c r="D150" s="11" t="s">
        <v>67</v>
      </c>
      <c r="E150" s="17" t="s">
        <v>73</v>
      </c>
      <c r="F150" s="17" t="s">
        <v>83</v>
      </c>
      <c r="G150" s="11" t="s">
        <v>212</v>
      </c>
      <c r="H150" s="11" t="s">
        <v>215</v>
      </c>
      <c r="I150" s="17" t="s">
        <v>138</v>
      </c>
      <c r="J150" s="17">
        <v>17.269753999999999</v>
      </c>
      <c r="K150" s="17">
        <v>-97.674317000000002</v>
      </c>
      <c r="L150" s="17" t="str">
        <f>HYPERLINK("https://maps.google.com/?q=17.269754,-97.674317", "🔗 Ver Mapa")</f>
        <v>🔗 Ver Mapa</v>
      </c>
    </row>
    <row r="151" spans="1:12" ht="43.5" x14ac:dyDescent="0.35">
      <c r="A151" s="5" t="s">
        <v>7</v>
      </c>
      <c r="B151" s="5" t="s">
        <v>20</v>
      </c>
      <c r="C151" s="5" t="s">
        <v>214</v>
      </c>
      <c r="D151" s="8" t="s">
        <v>67</v>
      </c>
      <c r="E151" s="16" t="s">
        <v>73</v>
      </c>
      <c r="F151" s="16" t="s">
        <v>83</v>
      </c>
      <c r="G151" s="8" t="s">
        <v>212</v>
      </c>
      <c r="H151" s="8" t="s">
        <v>215</v>
      </c>
      <c r="I151" s="16" t="s">
        <v>138</v>
      </c>
      <c r="J151" s="16">
        <v>17.269915000000001</v>
      </c>
      <c r="K151" s="16">
        <v>-97.674024000000003</v>
      </c>
      <c r="L151" s="16" t="str">
        <f>HYPERLINK("https://maps.google.com/?q=17.269915,-97.674024", "🔗 Ver Mapa")</f>
        <v>🔗 Ver Mapa</v>
      </c>
    </row>
    <row r="152" spans="1:12" ht="43.5" x14ac:dyDescent="0.35">
      <c r="A152" s="6" t="s">
        <v>7</v>
      </c>
      <c r="B152" s="6" t="s">
        <v>20</v>
      </c>
      <c r="C152" s="6" t="s">
        <v>214</v>
      </c>
      <c r="D152" s="11" t="s">
        <v>67</v>
      </c>
      <c r="E152" s="17" t="s">
        <v>73</v>
      </c>
      <c r="F152" s="17" t="s">
        <v>83</v>
      </c>
      <c r="G152" s="11" t="s">
        <v>212</v>
      </c>
      <c r="H152" s="11" t="s">
        <v>215</v>
      </c>
      <c r="I152" s="17" t="s">
        <v>138</v>
      </c>
      <c r="J152" s="17">
        <v>17.26999</v>
      </c>
      <c r="K152" s="17">
        <v>-97.674419</v>
      </c>
      <c r="L152" s="17" t="str">
        <f>HYPERLINK("https://maps.google.com/?q=17.26999,-97.674419", "🔗 Ver Mapa")</f>
        <v>🔗 Ver Mapa</v>
      </c>
    </row>
    <row r="153" spans="1:12" ht="43.5" x14ac:dyDescent="0.35">
      <c r="A153" s="5" t="s">
        <v>7</v>
      </c>
      <c r="B153" s="5" t="s">
        <v>20</v>
      </c>
      <c r="C153" s="5" t="s">
        <v>214</v>
      </c>
      <c r="D153" s="8" t="s">
        <v>67</v>
      </c>
      <c r="E153" s="16" t="s">
        <v>73</v>
      </c>
      <c r="F153" s="16" t="s">
        <v>83</v>
      </c>
      <c r="G153" s="8" t="s">
        <v>212</v>
      </c>
      <c r="H153" s="8" t="s">
        <v>215</v>
      </c>
      <c r="I153" s="16" t="s">
        <v>138</v>
      </c>
      <c r="J153" s="16">
        <v>17.270150999999998</v>
      </c>
      <c r="K153" s="16">
        <v>-97.674144999999996</v>
      </c>
      <c r="L153" s="16" t="str">
        <f>HYPERLINK("https://maps.google.com/?q=17.270151,-97.674145", "🔗 Ver Mapa")</f>
        <v>🔗 Ver Mapa</v>
      </c>
    </row>
    <row r="154" spans="1:12" ht="43.5" x14ac:dyDescent="0.35">
      <c r="A154" s="6" t="s">
        <v>7</v>
      </c>
      <c r="B154" s="6" t="s">
        <v>20</v>
      </c>
      <c r="C154" s="6" t="s">
        <v>214</v>
      </c>
      <c r="D154" s="11" t="s">
        <v>67</v>
      </c>
      <c r="E154" s="17" t="s">
        <v>73</v>
      </c>
      <c r="F154" s="17" t="s">
        <v>83</v>
      </c>
      <c r="G154" s="11" t="s">
        <v>212</v>
      </c>
      <c r="H154" s="11" t="s">
        <v>215</v>
      </c>
      <c r="I154" s="17" t="s">
        <v>138</v>
      </c>
      <c r="J154" s="17">
        <v>17.270225</v>
      </c>
      <c r="K154" s="17">
        <v>-97.674538999999996</v>
      </c>
      <c r="L154" s="17" t="str">
        <f>HYPERLINK("https://maps.google.com/?q=17.270225,-97.674539", "🔗 Ver Mapa")</f>
        <v>🔗 Ver Mapa</v>
      </c>
    </row>
    <row r="155" spans="1:12" ht="43.5" x14ac:dyDescent="0.35">
      <c r="A155" s="5" t="s">
        <v>7</v>
      </c>
      <c r="B155" s="5" t="s">
        <v>20</v>
      </c>
      <c r="C155" s="5" t="s">
        <v>214</v>
      </c>
      <c r="D155" s="8" t="s">
        <v>67</v>
      </c>
      <c r="E155" s="16" t="s">
        <v>73</v>
      </c>
      <c r="F155" s="16" t="s">
        <v>83</v>
      </c>
      <c r="G155" s="8" t="s">
        <v>212</v>
      </c>
      <c r="H155" s="8" t="s">
        <v>215</v>
      </c>
      <c r="I155" s="16" t="s">
        <v>138</v>
      </c>
      <c r="J155" s="16">
        <v>17.270413000000001</v>
      </c>
      <c r="K155" s="16">
        <v>-97.674256</v>
      </c>
      <c r="L155" s="16" t="str">
        <f>HYPERLINK("https://maps.google.com/?q=17.270413,-97.674256", "🔗 Ver Mapa")</f>
        <v>🔗 Ver Mapa</v>
      </c>
    </row>
    <row r="156" spans="1:12" ht="43.5" x14ac:dyDescent="0.35">
      <c r="A156" s="6" t="s">
        <v>7</v>
      </c>
      <c r="B156" s="6" t="s">
        <v>20</v>
      </c>
      <c r="C156" s="6" t="s">
        <v>214</v>
      </c>
      <c r="D156" s="11" t="s">
        <v>67</v>
      </c>
      <c r="E156" s="17" t="s">
        <v>73</v>
      </c>
      <c r="F156" s="17" t="s">
        <v>83</v>
      </c>
      <c r="G156" s="11" t="s">
        <v>212</v>
      </c>
      <c r="H156" s="11" t="s">
        <v>215</v>
      </c>
      <c r="I156" s="17" t="s">
        <v>138</v>
      </c>
      <c r="J156" s="17">
        <v>17.270496999999999</v>
      </c>
      <c r="K156" s="17">
        <v>-97.674631000000005</v>
      </c>
      <c r="L156" s="17" t="str">
        <f>HYPERLINK("https://maps.google.com/?q=17.270497,-97.674631", "🔗 Ver Mapa")</f>
        <v>🔗 Ver Mapa</v>
      </c>
    </row>
    <row r="157" spans="1:12" ht="43.5" x14ac:dyDescent="0.35">
      <c r="A157" s="5" t="s">
        <v>7</v>
      </c>
      <c r="B157" s="5" t="s">
        <v>20</v>
      </c>
      <c r="C157" s="5" t="s">
        <v>214</v>
      </c>
      <c r="D157" s="8" t="s">
        <v>67</v>
      </c>
      <c r="E157" s="16" t="s">
        <v>73</v>
      </c>
      <c r="F157" s="16" t="s">
        <v>83</v>
      </c>
      <c r="G157" s="8" t="s">
        <v>212</v>
      </c>
      <c r="H157" s="8" t="s">
        <v>215</v>
      </c>
      <c r="I157" s="16" t="s">
        <v>138</v>
      </c>
      <c r="J157" s="16">
        <v>17.270683999999999</v>
      </c>
      <c r="K157" s="16">
        <v>-97.674244000000002</v>
      </c>
      <c r="L157" s="16" t="str">
        <f>HYPERLINK("https://maps.google.com/?q=17.270684,-97.674244", "🔗 Ver Mapa")</f>
        <v>🔗 Ver Mapa</v>
      </c>
    </row>
    <row r="158" spans="1:12" ht="43.5" x14ac:dyDescent="0.35">
      <c r="A158" s="6" t="s">
        <v>7</v>
      </c>
      <c r="B158" s="6" t="s">
        <v>20</v>
      </c>
      <c r="C158" s="6" t="s">
        <v>214</v>
      </c>
      <c r="D158" s="11" t="s">
        <v>67</v>
      </c>
      <c r="E158" s="17" t="s">
        <v>73</v>
      </c>
      <c r="F158" s="17" t="s">
        <v>83</v>
      </c>
      <c r="G158" s="11" t="s">
        <v>212</v>
      </c>
      <c r="H158" s="11" t="s">
        <v>215</v>
      </c>
      <c r="I158" s="17" t="s">
        <v>138</v>
      </c>
      <c r="J158" s="17">
        <v>17.270768</v>
      </c>
      <c r="K158" s="17">
        <v>-97.674610999999999</v>
      </c>
      <c r="L158" s="17" t="str">
        <f>HYPERLINK("https://maps.google.com/?q=17.270768,-97.674611", "🔗 Ver Mapa")</f>
        <v>🔗 Ver Mapa</v>
      </c>
    </row>
    <row r="159" spans="1:12" ht="43.5" x14ac:dyDescent="0.35">
      <c r="A159" s="5" t="s">
        <v>7</v>
      </c>
      <c r="B159" s="5" t="s">
        <v>20</v>
      </c>
      <c r="C159" s="5" t="s">
        <v>214</v>
      </c>
      <c r="D159" s="8" t="s">
        <v>67</v>
      </c>
      <c r="E159" s="16" t="s">
        <v>73</v>
      </c>
      <c r="F159" s="16" t="s">
        <v>83</v>
      </c>
      <c r="G159" s="8" t="s">
        <v>212</v>
      </c>
      <c r="H159" s="8" t="s">
        <v>215</v>
      </c>
      <c r="I159" s="16" t="s">
        <v>138</v>
      </c>
      <c r="J159" s="16">
        <v>17.270955000000001</v>
      </c>
      <c r="K159" s="16">
        <v>-97.674194999999997</v>
      </c>
      <c r="L159" s="16" t="str">
        <f>HYPERLINK("https://maps.google.com/?q=17.270955,-97.674195", "🔗 Ver Mapa")</f>
        <v>🔗 Ver Mapa</v>
      </c>
    </row>
    <row r="160" spans="1:12" ht="43.5" x14ac:dyDescent="0.35">
      <c r="A160" s="6" t="s">
        <v>7</v>
      </c>
      <c r="B160" s="6" t="s">
        <v>20</v>
      </c>
      <c r="C160" s="6" t="s">
        <v>214</v>
      </c>
      <c r="D160" s="11" t="s">
        <v>67</v>
      </c>
      <c r="E160" s="17" t="s">
        <v>73</v>
      </c>
      <c r="F160" s="17" t="s">
        <v>83</v>
      </c>
      <c r="G160" s="11" t="s">
        <v>212</v>
      </c>
      <c r="H160" s="11" t="s">
        <v>215</v>
      </c>
      <c r="I160" s="17" t="s">
        <v>138</v>
      </c>
      <c r="J160" s="17">
        <v>17.270983999999999</v>
      </c>
      <c r="K160" s="17">
        <v>-97.674515</v>
      </c>
      <c r="L160" s="17" t="str">
        <f>HYPERLINK("https://maps.google.com/?q=17.270984,-97.674515", "🔗 Ver Mapa")</f>
        <v>🔗 Ver Mapa</v>
      </c>
    </row>
    <row r="161" spans="1:12" ht="43.5" x14ac:dyDescent="0.35">
      <c r="A161" s="5" t="s">
        <v>7</v>
      </c>
      <c r="B161" s="5" t="s">
        <v>20</v>
      </c>
      <c r="C161" s="5" t="s">
        <v>214</v>
      </c>
      <c r="D161" s="8" t="s">
        <v>67</v>
      </c>
      <c r="E161" s="16" t="s">
        <v>73</v>
      </c>
      <c r="F161" s="16" t="s">
        <v>83</v>
      </c>
      <c r="G161" s="8" t="s">
        <v>212</v>
      </c>
      <c r="H161" s="8" t="s">
        <v>215</v>
      </c>
      <c r="I161" s="16" t="s">
        <v>138</v>
      </c>
      <c r="J161" s="16">
        <v>17.271101000000002</v>
      </c>
      <c r="K161" s="16">
        <v>-97.674353999999994</v>
      </c>
      <c r="L161" s="16" t="str">
        <f>HYPERLINK("https://maps.google.com/?q=17.271101,-97.674354", "🔗 Ver Mapa")</f>
        <v>🔗 Ver Mapa</v>
      </c>
    </row>
    <row r="162" spans="1:12" ht="43.5" x14ac:dyDescent="0.35">
      <c r="A162" s="6" t="s">
        <v>7</v>
      </c>
      <c r="B162" s="6" t="s">
        <v>20</v>
      </c>
      <c r="C162" s="6" t="s">
        <v>214</v>
      </c>
      <c r="D162" s="11" t="s">
        <v>67</v>
      </c>
      <c r="E162" s="17" t="s">
        <v>73</v>
      </c>
      <c r="F162" s="17" t="s">
        <v>83</v>
      </c>
      <c r="G162" s="11" t="s">
        <v>212</v>
      </c>
      <c r="H162" s="11" t="s">
        <v>215</v>
      </c>
      <c r="I162" s="17" t="s">
        <v>138</v>
      </c>
      <c r="J162" s="17">
        <v>17.271117</v>
      </c>
      <c r="K162" s="17">
        <v>-97.674063000000004</v>
      </c>
      <c r="L162" s="17" t="str">
        <f>HYPERLINK("https://maps.google.com/?q=17.271117,-97.674063", "🔗 Ver Mapa")</f>
        <v>🔗 Ver Mapa</v>
      </c>
    </row>
    <row r="163" spans="1:12" ht="43.5" x14ac:dyDescent="0.35">
      <c r="A163" s="5" t="s">
        <v>7</v>
      </c>
      <c r="B163" s="5" t="s">
        <v>20</v>
      </c>
      <c r="C163" s="5" t="s">
        <v>214</v>
      </c>
      <c r="D163" s="8" t="s">
        <v>67</v>
      </c>
      <c r="E163" s="16" t="s">
        <v>73</v>
      </c>
      <c r="F163" s="16" t="s">
        <v>83</v>
      </c>
      <c r="G163" s="8" t="s">
        <v>212</v>
      </c>
      <c r="H163" s="8" t="s">
        <v>215</v>
      </c>
      <c r="I163" s="16" t="s">
        <v>138</v>
      </c>
      <c r="J163" s="16">
        <v>17.271217</v>
      </c>
      <c r="K163" s="16">
        <v>-97.674165000000002</v>
      </c>
      <c r="L163" s="16" t="str">
        <f>HYPERLINK("https://maps.google.com/?q=17.271217,-97.674165", "🔗 Ver Mapa")</f>
        <v>🔗 Ver Mapa</v>
      </c>
    </row>
    <row r="164" spans="1:12" ht="43.5" x14ac:dyDescent="0.35">
      <c r="A164" s="6" t="s">
        <v>7</v>
      </c>
      <c r="B164" s="6" t="s">
        <v>20</v>
      </c>
      <c r="C164" s="6" t="s">
        <v>214</v>
      </c>
      <c r="D164" s="11" t="s">
        <v>67</v>
      </c>
      <c r="E164" s="17" t="s">
        <v>73</v>
      </c>
      <c r="F164" s="17" t="s">
        <v>83</v>
      </c>
      <c r="G164" s="11" t="s">
        <v>212</v>
      </c>
      <c r="H164" s="11" t="s">
        <v>215</v>
      </c>
      <c r="I164" s="17" t="s">
        <v>138</v>
      </c>
      <c r="J164" s="17">
        <v>17.271269</v>
      </c>
      <c r="K164" s="17">
        <v>-97.673891999999995</v>
      </c>
      <c r="L164" s="17" t="str">
        <f>HYPERLINK("https://maps.google.com/?q=17.271269,-97.673892", "🔗 Ver Mapa")</f>
        <v>🔗 Ver Mapa</v>
      </c>
    </row>
    <row r="165" spans="1:12" ht="43.5" x14ac:dyDescent="0.35">
      <c r="A165" s="5" t="s">
        <v>7</v>
      </c>
      <c r="B165" s="5" t="s">
        <v>20</v>
      </c>
      <c r="C165" s="5" t="s">
        <v>214</v>
      </c>
      <c r="D165" s="8" t="s">
        <v>67</v>
      </c>
      <c r="E165" s="16" t="s">
        <v>73</v>
      </c>
      <c r="F165" s="16" t="s">
        <v>83</v>
      </c>
      <c r="G165" s="8" t="s">
        <v>212</v>
      </c>
      <c r="H165" s="8" t="s">
        <v>215</v>
      </c>
      <c r="I165" s="16" t="s">
        <v>138</v>
      </c>
      <c r="J165" s="16">
        <v>17.271350000000002</v>
      </c>
      <c r="K165" s="16">
        <v>-97.673703000000003</v>
      </c>
      <c r="L165" s="16" t="str">
        <f>HYPERLINK("https://maps.google.com/?q=17.27135,-97.673703", "🔗 Ver Mapa")</f>
        <v>🔗 Ver Mapa</v>
      </c>
    </row>
    <row r="166" spans="1:12" ht="43.5" x14ac:dyDescent="0.35">
      <c r="A166" s="6" t="s">
        <v>7</v>
      </c>
      <c r="B166" s="6" t="s">
        <v>20</v>
      </c>
      <c r="C166" s="6" t="s">
        <v>214</v>
      </c>
      <c r="D166" s="11" t="s">
        <v>67</v>
      </c>
      <c r="E166" s="17" t="s">
        <v>73</v>
      </c>
      <c r="F166" s="17" t="s">
        <v>83</v>
      </c>
      <c r="G166" s="11" t="s">
        <v>212</v>
      </c>
      <c r="H166" s="11" t="s">
        <v>215</v>
      </c>
      <c r="I166" s="17" t="s">
        <v>138</v>
      </c>
      <c r="J166" s="17">
        <v>17.271442</v>
      </c>
      <c r="K166" s="17">
        <v>-97.672583000000003</v>
      </c>
      <c r="L166" s="17" t="str">
        <f>HYPERLINK("https://maps.google.com/?q=17.271442,-97.672583", "🔗 Ver Mapa")</f>
        <v>🔗 Ver Mapa</v>
      </c>
    </row>
    <row r="167" spans="1:12" ht="43.5" x14ac:dyDescent="0.35">
      <c r="A167" s="5" t="s">
        <v>7</v>
      </c>
      <c r="B167" s="5" t="s">
        <v>20</v>
      </c>
      <c r="C167" s="5" t="s">
        <v>214</v>
      </c>
      <c r="D167" s="8" t="s">
        <v>67</v>
      </c>
      <c r="E167" s="16" t="s">
        <v>73</v>
      </c>
      <c r="F167" s="16" t="s">
        <v>83</v>
      </c>
      <c r="G167" s="8" t="s">
        <v>212</v>
      </c>
      <c r="H167" s="8" t="s">
        <v>215</v>
      </c>
      <c r="I167" s="16" t="s">
        <v>138</v>
      </c>
      <c r="J167" s="16">
        <v>17.271470000000001</v>
      </c>
      <c r="K167" s="16">
        <v>-97.672818000000007</v>
      </c>
      <c r="L167" s="16" t="str">
        <f>HYPERLINK("https://maps.google.com/?q=17.27147,-97.672818", "🔗 Ver Mapa")</f>
        <v>🔗 Ver Mapa</v>
      </c>
    </row>
    <row r="168" spans="1:12" ht="43.5" x14ac:dyDescent="0.35">
      <c r="A168" s="6" t="s">
        <v>7</v>
      </c>
      <c r="B168" s="6" t="s">
        <v>20</v>
      </c>
      <c r="C168" s="6" t="s">
        <v>214</v>
      </c>
      <c r="D168" s="11" t="s">
        <v>67</v>
      </c>
      <c r="E168" s="17" t="s">
        <v>73</v>
      </c>
      <c r="F168" s="17" t="s">
        <v>83</v>
      </c>
      <c r="G168" s="11" t="s">
        <v>212</v>
      </c>
      <c r="H168" s="11" t="s">
        <v>215</v>
      </c>
      <c r="I168" s="17" t="s">
        <v>138</v>
      </c>
      <c r="J168" s="17">
        <v>17.271493</v>
      </c>
      <c r="K168" s="17">
        <v>-97.673505000000006</v>
      </c>
      <c r="L168" s="17" t="str">
        <f>HYPERLINK("https://maps.google.com/?q=17.271493,-97.673505", "🔗 Ver Mapa")</f>
        <v>🔗 Ver Mapa</v>
      </c>
    </row>
    <row r="169" spans="1:12" ht="43.5" x14ac:dyDescent="0.35">
      <c r="A169" s="5" t="s">
        <v>7</v>
      </c>
      <c r="B169" s="5" t="s">
        <v>20</v>
      </c>
      <c r="C169" s="5" t="s">
        <v>214</v>
      </c>
      <c r="D169" s="8" t="s">
        <v>67</v>
      </c>
      <c r="E169" s="16" t="s">
        <v>73</v>
      </c>
      <c r="F169" s="16" t="s">
        <v>83</v>
      </c>
      <c r="G169" s="8" t="s">
        <v>212</v>
      </c>
      <c r="H169" s="8" t="s">
        <v>215</v>
      </c>
      <c r="I169" s="16" t="s">
        <v>138</v>
      </c>
      <c r="J169" s="16">
        <v>17.271540000000002</v>
      </c>
      <c r="K169" s="16">
        <v>-97.672365999999997</v>
      </c>
      <c r="L169" s="16" t="str">
        <f>HYPERLINK("https://maps.google.com/?q=17.27154,-97.672366", "🔗 Ver Mapa")</f>
        <v>🔗 Ver Mapa</v>
      </c>
    </row>
    <row r="170" spans="1:12" ht="43.5" x14ac:dyDescent="0.35">
      <c r="A170" s="6" t="s">
        <v>7</v>
      </c>
      <c r="B170" s="6" t="s">
        <v>20</v>
      </c>
      <c r="C170" s="6" t="s">
        <v>214</v>
      </c>
      <c r="D170" s="11" t="s">
        <v>67</v>
      </c>
      <c r="E170" s="17" t="s">
        <v>73</v>
      </c>
      <c r="F170" s="17" t="s">
        <v>83</v>
      </c>
      <c r="G170" s="11" t="s">
        <v>212</v>
      </c>
      <c r="H170" s="11" t="s">
        <v>215</v>
      </c>
      <c r="I170" s="17" t="s">
        <v>138</v>
      </c>
      <c r="J170" s="17">
        <v>17.271546000000001</v>
      </c>
      <c r="K170" s="17">
        <v>-97.673269000000005</v>
      </c>
      <c r="L170" s="17" t="str">
        <f>HYPERLINK("https://maps.google.com/?q=17.271546,-97.673269", "🔗 Ver Mapa")</f>
        <v>🔗 Ver Mapa</v>
      </c>
    </row>
    <row r="171" spans="1:12" ht="43.5" x14ac:dyDescent="0.35">
      <c r="A171" s="5" t="s">
        <v>7</v>
      </c>
      <c r="B171" s="5" t="s">
        <v>20</v>
      </c>
      <c r="C171" s="5" t="s">
        <v>214</v>
      </c>
      <c r="D171" s="8" t="s">
        <v>67</v>
      </c>
      <c r="E171" s="16" t="s">
        <v>73</v>
      </c>
      <c r="F171" s="16" t="s">
        <v>83</v>
      </c>
      <c r="G171" s="8" t="s">
        <v>212</v>
      </c>
      <c r="H171" s="8" t="s">
        <v>215</v>
      </c>
      <c r="I171" s="16" t="s">
        <v>138</v>
      </c>
      <c r="J171" s="16">
        <v>17.271553000000001</v>
      </c>
      <c r="K171" s="16">
        <v>-97.673044000000004</v>
      </c>
      <c r="L171" s="16" t="str">
        <f>HYPERLINK("https://maps.google.com/?q=17.271553,-97.673044", "🔗 Ver Mapa")</f>
        <v>🔗 Ver Mapa</v>
      </c>
    </row>
    <row r="172" spans="1:12" ht="43.5" x14ac:dyDescent="0.35">
      <c r="A172" s="6" t="s">
        <v>7</v>
      </c>
      <c r="B172" s="6" t="s">
        <v>20</v>
      </c>
      <c r="C172" s="6" t="s">
        <v>214</v>
      </c>
      <c r="D172" s="11" t="s">
        <v>67</v>
      </c>
      <c r="E172" s="17" t="s">
        <v>73</v>
      </c>
      <c r="F172" s="17" t="s">
        <v>83</v>
      </c>
      <c r="G172" s="11" t="s">
        <v>212</v>
      </c>
      <c r="H172" s="11" t="s">
        <v>215</v>
      </c>
      <c r="I172" s="17" t="s">
        <v>138</v>
      </c>
      <c r="J172" s="17">
        <v>17.271619000000001</v>
      </c>
      <c r="K172" s="17">
        <v>-97.672139999999999</v>
      </c>
      <c r="L172" s="17" t="str">
        <f>HYPERLINK("https://maps.google.com/?q=17.271619,-97.67214", "🔗 Ver Mapa")</f>
        <v>🔗 Ver Mapa</v>
      </c>
    </row>
    <row r="173" spans="1:12" ht="43.5" x14ac:dyDescent="0.35">
      <c r="A173" s="5" t="s">
        <v>7</v>
      </c>
      <c r="B173" s="5" t="s">
        <v>20</v>
      </c>
      <c r="C173" s="5" t="s">
        <v>214</v>
      </c>
      <c r="D173" s="8" t="s">
        <v>67</v>
      </c>
      <c r="E173" s="16" t="s">
        <v>73</v>
      </c>
      <c r="F173" s="16" t="s">
        <v>83</v>
      </c>
      <c r="G173" s="8" t="s">
        <v>212</v>
      </c>
      <c r="H173" s="8" t="s">
        <v>215</v>
      </c>
      <c r="I173" s="16" t="s">
        <v>138</v>
      </c>
      <c r="J173" s="16">
        <v>17.274168</v>
      </c>
      <c r="K173" s="16">
        <v>-97.672188000000006</v>
      </c>
      <c r="L173" s="16" t="str">
        <f>HYPERLINK("https://maps.google.com/?q=17.274168,-97.672188", "🔗 Ver Mapa")</f>
        <v>🔗 Ver Mapa</v>
      </c>
    </row>
    <row r="174" spans="1:12" ht="43.5" x14ac:dyDescent="0.35">
      <c r="A174" s="6" t="s">
        <v>7</v>
      </c>
      <c r="B174" s="6" t="s">
        <v>20</v>
      </c>
      <c r="C174" s="6" t="s">
        <v>214</v>
      </c>
      <c r="D174" s="11" t="s">
        <v>67</v>
      </c>
      <c r="E174" s="17" t="s">
        <v>73</v>
      </c>
      <c r="F174" s="17" t="s">
        <v>83</v>
      </c>
      <c r="G174" s="11" t="s">
        <v>212</v>
      </c>
      <c r="H174" s="11" t="s">
        <v>215</v>
      </c>
      <c r="I174" s="17" t="s">
        <v>138</v>
      </c>
      <c r="J174" s="17">
        <v>17.274339000000001</v>
      </c>
      <c r="K174" s="17">
        <v>-97.672101999999995</v>
      </c>
      <c r="L174" s="17" t="str">
        <f>HYPERLINK("https://maps.google.com/?q=17.274339,-97.672102", "🔗 Ver Mapa")</f>
        <v>🔗 Ver Mapa</v>
      </c>
    </row>
    <row r="175" spans="1:12" ht="43.5" x14ac:dyDescent="0.35">
      <c r="A175" s="5" t="s">
        <v>7</v>
      </c>
      <c r="B175" s="5" t="s">
        <v>20</v>
      </c>
      <c r="C175" s="5" t="s">
        <v>214</v>
      </c>
      <c r="D175" s="8" t="s">
        <v>67</v>
      </c>
      <c r="E175" s="16" t="s">
        <v>73</v>
      </c>
      <c r="F175" s="16" t="s">
        <v>83</v>
      </c>
      <c r="G175" s="8" t="s">
        <v>212</v>
      </c>
      <c r="H175" s="8" t="s">
        <v>215</v>
      </c>
      <c r="I175" s="16" t="s">
        <v>138</v>
      </c>
      <c r="J175" s="16">
        <v>17.274483</v>
      </c>
      <c r="K175" s="16">
        <v>-97.671921999999995</v>
      </c>
      <c r="L175" s="16" t="str">
        <f>HYPERLINK("https://maps.google.com/?q=17.274483,-97.671922", "🔗 Ver Mapa")</f>
        <v>🔗 Ver Mapa</v>
      </c>
    </row>
    <row r="176" spans="1:12" ht="43.5" x14ac:dyDescent="0.35">
      <c r="A176" s="6" t="s">
        <v>7</v>
      </c>
      <c r="B176" s="6" t="s">
        <v>20</v>
      </c>
      <c r="C176" s="6" t="s">
        <v>214</v>
      </c>
      <c r="D176" s="11" t="s">
        <v>67</v>
      </c>
      <c r="E176" s="17" t="s">
        <v>73</v>
      </c>
      <c r="F176" s="17" t="s">
        <v>83</v>
      </c>
      <c r="G176" s="11" t="s">
        <v>212</v>
      </c>
      <c r="H176" s="11" t="s">
        <v>215</v>
      </c>
      <c r="I176" s="17" t="s">
        <v>138</v>
      </c>
      <c r="J176" s="17">
        <v>17.274643999999999</v>
      </c>
      <c r="K176" s="17">
        <v>-97.671761000000004</v>
      </c>
      <c r="L176" s="17" t="str">
        <f>HYPERLINK("https://maps.google.com/?q=17.274644,-97.671761", "🔗 Ver Mapa")</f>
        <v>🔗 Ver Mapa</v>
      </c>
    </row>
    <row r="177" spans="1:12" ht="43.5" x14ac:dyDescent="0.35">
      <c r="A177" s="5" t="s">
        <v>7</v>
      </c>
      <c r="B177" s="5" t="s">
        <v>20</v>
      </c>
      <c r="C177" s="5" t="s">
        <v>214</v>
      </c>
      <c r="D177" s="8" t="s">
        <v>67</v>
      </c>
      <c r="E177" s="16" t="s">
        <v>73</v>
      </c>
      <c r="F177" s="16" t="s">
        <v>83</v>
      </c>
      <c r="G177" s="8" t="s">
        <v>212</v>
      </c>
      <c r="H177" s="8" t="s">
        <v>215</v>
      </c>
      <c r="I177" s="16" t="s">
        <v>138</v>
      </c>
      <c r="J177" s="16">
        <v>17.274906000000001</v>
      </c>
      <c r="K177" s="16">
        <v>-97.671645999999996</v>
      </c>
      <c r="L177" s="16" t="str">
        <f>HYPERLINK("https://maps.google.com/?q=17.274906,-97.671646", "🔗 Ver Mapa")</f>
        <v>🔗 Ver Mapa</v>
      </c>
    </row>
    <row r="178" spans="1:12" ht="43.5" x14ac:dyDescent="0.35">
      <c r="A178" s="6" t="s">
        <v>7</v>
      </c>
      <c r="B178" s="6" t="s">
        <v>20</v>
      </c>
      <c r="C178" s="6" t="s">
        <v>214</v>
      </c>
      <c r="D178" s="11" t="s">
        <v>67</v>
      </c>
      <c r="E178" s="17" t="s">
        <v>73</v>
      </c>
      <c r="F178" s="17" t="s">
        <v>83</v>
      </c>
      <c r="G178" s="11" t="s">
        <v>212</v>
      </c>
      <c r="H178" s="11" t="s">
        <v>215</v>
      </c>
      <c r="I178" s="17" t="s">
        <v>138</v>
      </c>
      <c r="J178" s="17">
        <v>17.275122</v>
      </c>
      <c r="K178" s="17">
        <v>-97.671606999999995</v>
      </c>
      <c r="L178" s="17" t="str">
        <f>HYPERLINK("https://maps.google.com/?q=17.275122,-97.671607", "🔗 Ver Mapa")</f>
        <v>🔗 Ver Mapa</v>
      </c>
    </row>
    <row r="179" spans="1:12" ht="43.5" x14ac:dyDescent="0.35">
      <c r="A179" s="5" t="s">
        <v>7</v>
      </c>
      <c r="B179" s="5" t="s">
        <v>20</v>
      </c>
      <c r="C179" s="5" t="s">
        <v>216</v>
      </c>
      <c r="D179" s="8" t="s">
        <v>67</v>
      </c>
      <c r="E179" s="16" t="s">
        <v>73</v>
      </c>
      <c r="F179" s="16" t="s">
        <v>83</v>
      </c>
      <c r="G179" s="8" t="s">
        <v>212</v>
      </c>
      <c r="H179" s="8" t="s">
        <v>217</v>
      </c>
      <c r="I179" s="16" t="s">
        <v>138</v>
      </c>
      <c r="J179" s="16">
        <v>17.275338999999999</v>
      </c>
      <c r="K179" s="16">
        <v>-97.671558000000005</v>
      </c>
      <c r="L179" s="16" t="str">
        <f>HYPERLINK("https://maps.google.com/?q=17.275339,-97.671558", "🔗 Ver Mapa")</f>
        <v>🔗 Ver Mapa</v>
      </c>
    </row>
    <row r="180" spans="1:12" ht="43.5" x14ac:dyDescent="0.35">
      <c r="A180" s="6" t="s">
        <v>7</v>
      </c>
      <c r="B180" s="6" t="s">
        <v>20</v>
      </c>
      <c r="C180" s="6" t="s">
        <v>216</v>
      </c>
      <c r="D180" s="11" t="s">
        <v>67</v>
      </c>
      <c r="E180" s="17" t="s">
        <v>73</v>
      </c>
      <c r="F180" s="17" t="s">
        <v>83</v>
      </c>
      <c r="G180" s="11" t="s">
        <v>212</v>
      </c>
      <c r="H180" s="11" t="s">
        <v>217</v>
      </c>
      <c r="I180" s="17" t="s">
        <v>138</v>
      </c>
      <c r="J180" s="17">
        <v>17.275563999999999</v>
      </c>
      <c r="K180" s="17">
        <v>-97.671499999999995</v>
      </c>
      <c r="L180" s="17" t="str">
        <f>HYPERLINK("https://maps.google.com/?q=17.275564,-97.6715", "🔗 Ver Mapa")</f>
        <v>🔗 Ver Mapa</v>
      </c>
    </row>
    <row r="181" spans="1:12" ht="43.5" x14ac:dyDescent="0.35">
      <c r="A181" s="5" t="s">
        <v>7</v>
      </c>
      <c r="B181" s="5" t="s">
        <v>20</v>
      </c>
      <c r="C181" s="5" t="s">
        <v>216</v>
      </c>
      <c r="D181" s="8" t="s">
        <v>67</v>
      </c>
      <c r="E181" s="16" t="s">
        <v>73</v>
      </c>
      <c r="F181" s="16" t="s">
        <v>83</v>
      </c>
      <c r="G181" s="8" t="s">
        <v>212</v>
      </c>
      <c r="H181" s="8" t="s">
        <v>217</v>
      </c>
      <c r="I181" s="16" t="s">
        <v>138</v>
      </c>
      <c r="J181" s="16">
        <v>17.275772</v>
      </c>
      <c r="K181" s="16">
        <v>-97.671432999999993</v>
      </c>
      <c r="L181" s="16" t="str">
        <f>HYPERLINK("https://maps.google.com/?q=17.275772,-97.671433", "🔗 Ver Mapa")</f>
        <v>🔗 Ver Mapa</v>
      </c>
    </row>
    <row r="182" spans="1:12" ht="43.5" x14ac:dyDescent="0.35">
      <c r="A182" s="6" t="s">
        <v>7</v>
      </c>
      <c r="B182" s="6" t="s">
        <v>20</v>
      </c>
      <c r="C182" s="6" t="s">
        <v>216</v>
      </c>
      <c r="D182" s="11" t="s">
        <v>67</v>
      </c>
      <c r="E182" s="17" t="s">
        <v>73</v>
      </c>
      <c r="F182" s="17" t="s">
        <v>83</v>
      </c>
      <c r="G182" s="11" t="s">
        <v>212</v>
      </c>
      <c r="H182" s="11" t="s">
        <v>217</v>
      </c>
      <c r="I182" s="17" t="s">
        <v>138</v>
      </c>
      <c r="J182" s="17">
        <v>17.275996719399</v>
      </c>
      <c r="K182" s="17">
        <v>-97.671377906746002</v>
      </c>
      <c r="L182" s="17" t="str">
        <f>HYPERLINK("https://maps.google.com/?q=17.275996719399,-97.671377906746", "🔗 Ver Mapa")</f>
        <v>🔗 Ver Mapa</v>
      </c>
    </row>
    <row r="183" spans="1:12" ht="43.5" x14ac:dyDescent="0.35">
      <c r="A183" s="5" t="s">
        <v>7</v>
      </c>
      <c r="B183" s="5" t="s">
        <v>20</v>
      </c>
      <c r="C183" s="5" t="s">
        <v>216</v>
      </c>
      <c r="D183" s="8" t="s">
        <v>67</v>
      </c>
      <c r="E183" s="16" t="s">
        <v>73</v>
      </c>
      <c r="F183" s="16" t="s">
        <v>83</v>
      </c>
      <c r="G183" s="8" t="s">
        <v>212</v>
      </c>
      <c r="H183" s="8" t="s">
        <v>217</v>
      </c>
      <c r="I183" s="16" t="s">
        <v>138</v>
      </c>
      <c r="J183" s="16">
        <v>17.276168999999999</v>
      </c>
      <c r="K183" s="16">
        <v>-97.671346</v>
      </c>
      <c r="L183" s="16" t="str">
        <f>HYPERLINK("https://maps.google.com/?q=17.276169,-97.671346", "🔗 Ver Mapa")</f>
        <v>🔗 Ver Mapa</v>
      </c>
    </row>
    <row r="184" spans="1:12" ht="43.5" x14ac:dyDescent="0.35">
      <c r="A184" s="6" t="s">
        <v>7</v>
      </c>
      <c r="B184" s="6" t="s">
        <v>20</v>
      </c>
      <c r="C184" s="6" t="s">
        <v>216</v>
      </c>
      <c r="D184" s="11" t="s">
        <v>67</v>
      </c>
      <c r="E184" s="17" t="s">
        <v>73</v>
      </c>
      <c r="F184" s="17" t="s">
        <v>83</v>
      </c>
      <c r="G184" s="11" t="s">
        <v>212</v>
      </c>
      <c r="H184" s="11" t="s">
        <v>217</v>
      </c>
      <c r="I184" s="17" t="s">
        <v>138</v>
      </c>
      <c r="J184" s="17">
        <v>17.276389877606999</v>
      </c>
      <c r="K184" s="17">
        <v>-97.671283201223005</v>
      </c>
      <c r="L184" s="17" t="str">
        <f>HYPERLINK("https://maps.google.com/?q=17.276389877607,-97.671283201223", "🔗 Ver Mapa")</f>
        <v>🔗 Ver Mapa</v>
      </c>
    </row>
    <row r="185" spans="1:12" ht="43.5" x14ac:dyDescent="0.35">
      <c r="A185" s="5" t="s">
        <v>7</v>
      </c>
      <c r="B185" s="5" t="s">
        <v>20</v>
      </c>
      <c r="C185" s="5" t="s">
        <v>216</v>
      </c>
      <c r="D185" s="8" t="s">
        <v>67</v>
      </c>
      <c r="E185" s="16" t="s">
        <v>73</v>
      </c>
      <c r="F185" s="16" t="s">
        <v>83</v>
      </c>
      <c r="G185" s="8" t="s">
        <v>212</v>
      </c>
      <c r="H185" s="8" t="s">
        <v>217</v>
      </c>
      <c r="I185" s="16" t="s">
        <v>138</v>
      </c>
      <c r="J185" s="16">
        <v>17.276614877613</v>
      </c>
      <c r="K185" s="16">
        <v>-97.671224247850006</v>
      </c>
      <c r="L185" s="16" t="str">
        <f>HYPERLINK("https://maps.google.com/?q=17.276614877613,-97.67122424785", "🔗 Ver Mapa")</f>
        <v>🔗 Ver Mapa</v>
      </c>
    </row>
    <row r="186" spans="1:12" ht="43.5" x14ac:dyDescent="0.35">
      <c r="A186" s="6" t="s">
        <v>7</v>
      </c>
      <c r="B186" s="6" t="s">
        <v>20</v>
      </c>
      <c r="C186" s="6" t="s">
        <v>216</v>
      </c>
      <c r="D186" s="11" t="s">
        <v>67</v>
      </c>
      <c r="E186" s="17" t="s">
        <v>73</v>
      </c>
      <c r="F186" s="17" t="s">
        <v>83</v>
      </c>
      <c r="G186" s="11" t="s">
        <v>212</v>
      </c>
      <c r="H186" s="11" t="s">
        <v>217</v>
      </c>
      <c r="I186" s="17" t="s">
        <v>138</v>
      </c>
      <c r="J186" s="17">
        <v>17.276817719404999</v>
      </c>
      <c r="K186" s="17">
        <v>-97.671174519014002</v>
      </c>
      <c r="L186" s="17" t="str">
        <f>HYPERLINK("https://maps.google.com/?q=17.276817719405,-97.671174519014", "🔗 Ver Mapa")</f>
        <v>🔗 Ver Mapa</v>
      </c>
    </row>
    <row r="187" spans="1:12" ht="43.5" x14ac:dyDescent="0.35">
      <c r="A187" s="5" t="s">
        <v>7</v>
      </c>
      <c r="B187" s="5" t="s">
        <v>20</v>
      </c>
      <c r="C187" s="5" t="s">
        <v>216</v>
      </c>
      <c r="D187" s="8" t="s">
        <v>67</v>
      </c>
      <c r="E187" s="16" t="s">
        <v>73</v>
      </c>
      <c r="F187" s="16" t="s">
        <v>83</v>
      </c>
      <c r="G187" s="8" t="s">
        <v>212</v>
      </c>
      <c r="H187" s="8" t="s">
        <v>217</v>
      </c>
      <c r="I187" s="16" t="s">
        <v>138</v>
      </c>
      <c r="J187" s="16">
        <v>17.276977194059</v>
      </c>
      <c r="K187" s="16">
        <v>-97.671044425760002</v>
      </c>
      <c r="L187" s="16" t="str">
        <f>HYPERLINK("https://maps.google.com/?q=17.276977194059,-97.67104442576", "🔗 Ver Mapa")</f>
        <v>🔗 Ver Mapa</v>
      </c>
    </row>
    <row r="188" spans="1:12" ht="43.5" x14ac:dyDescent="0.35">
      <c r="A188" s="6" t="s">
        <v>7</v>
      </c>
      <c r="B188" s="6" t="s">
        <v>20</v>
      </c>
      <c r="C188" s="6" t="s">
        <v>216</v>
      </c>
      <c r="D188" s="11" t="s">
        <v>67</v>
      </c>
      <c r="E188" s="17" t="s">
        <v>73</v>
      </c>
      <c r="F188" s="17" t="s">
        <v>83</v>
      </c>
      <c r="G188" s="11" t="s">
        <v>212</v>
      </c>
      <c r="H188" s="11" t="s">
        <v>217</v>
      </c>
      <c r="I188" s="17" t="s">
        <v>138</v>
      </c>
      <c r="J188" s="17">
        <v>17.277014158218002</v>
      </c>
      <c r="K188" s="17">
        <v>-97.671199953373005</v>
      </c>
      <c r="L188" s="17" t="str">
        <f>HYPERLINK("https://maps.google.com/?q=17.277014158218,-97.671199953373", "🔗 Ver Mapa")</f>
        <v>🔗 Ver Mapa</v>
      </c>
    </row>
    <row r="189" spans="1:12" ht="43.5" x14ac:dyDescent="0.35">
      <c r="A189" s="5" t="s">
        <v>7</v>
      </c>
      <c r="B189" s="5" t="s">
        <v>20</v>
      </c>
      <c r="C189" s="5" t="s">
        <v>216</v>
      </c>
      <c r="D189" s="8" t="s">
        <v>67</v>
      </c>
      <c r="E189" s="16" t="s">
        <v>73</v>
      </c>
      <c r="F189" s="16" t="s">
        <v>83</v>
      </c>
      <c r="G189" s="8" t="s">
        <v>212</v>
      </c>
      <c r="H189" s="8" t="s">
        <v>217</v>
      </c>
      <c r="I189" s="16" t="s">
        <v>138</v>
      </c>
      <c r="J189" s="16">
        <v>17.277207280593</v>
      </c>
      <c r="K189" s="16">
        <v>-97.670987542328007</v>
      </c>
      <c r="L189" s="16" t="str">
        <f>HYPERLINK("https://maps.google.com/?q=17.277207280593,-97.670987542328", "🔗 Ver Mapa")</f>
        <v>🔗 Ver Mapa</v>
      </c>
    </row>
    <row r="190" spans="1:12" ht="43.5" x14ac:dyDescent="0.35">
      <c r="A190" s="6" t="s">
        <v>7</v>
      </c>
      <c r="B190" s="6" t="s">
        <v>20</v>
      </c>
      <c r="C190" s="6" t="s">
        <v>216</v>
      </c>
      <c r="D190" s="11" t="s">
        <v>67</v>
      </c>
      <c r="E190" s="17" t="s">
        <v>73</v>
      </c>
      <c r="F190" s="17" t="s">
        <v>83</v>
      </c>
      <c r="G190" s="11" t="s">
        <v>212</v>
      </c>
      <c r="H190" s="11" t="s">
        <v>217</v>
      </c>
      <c r="I190" s="17" t="s">
        <v>138</v>
      </c>
      <c r="J190" s="17">
        <v>17.277235280591999</v>
      </c>
      <c r="K190" s="17">
        <v>-97.671140387731995</v>
      </c>
      <c r="L190" s="17" t="str">
        <f>HYPERLINK("https://maps.google.com/?q=17.277235280592,-97.671140387732", "🔗 Ver Mapa")</f>
        <v>🔗 Ver Mapa</v>
      </c>
    </row>
    <row r="191" spans="1:12" ht="43.5" x14ac:dyDescent="0.35">
      <c r="A191" s="5" t="s">
        <v>7</v>
      </c>
      <c r="B191" s="5" t="s">
        <v>20</v>
      </c>
      <c r="C191" s="5" t="s">
        <v>216</v>
      </c>
      <c r="D191" s="8" t="s">
        <v>67</v>
      </c>
      <c r="E191" s="16" t="s">
        <v>73</v>
      </c>
      <c r="F191" s="16" t="s">
        <v>83</v>
      </c>
      <c r="G191" s="8" t="s">
        <v>212</v>
      </c>
      <c r="H191" s="8" t="s">
        <v>217</v>
      </c>
      <c r="I191" s="16" t="s">
        <v>138</v>
      </c>
      <c r="J191" s="16">
        <v>17.277422999999999</v>
      </c>
      <c r="K191" s="16">
        <v>-97.670943906746004</v>
      </c>
      <c r="L191" s="16" t="str">
        <f>HYPERLINK("https://maps.google.com/?q=17.277423,-97.670943906746", "🔗 Ver Mapa")</f>
        <v>🔗 Ver Mapa</v>
      </c>
    </row>
    <row r="192" spans="1:12" ht="43.5" x14ac:dyDescent="0.35">
      <c r="A192" s="6" t="s">
        <v>7</v>
      </c>
      <c r="B192" s="6" t="s">
        <v>20</v>
      </c>
      <c r="C192" s="6" t="s">
        <v>216</v>
      </c>
      <c r="D192" s="11" t="s">
        <v>67</v>
      </c>
      <c r="E192" s="17" t="s">
        <v>73</v>
      </c>
      <c r="F192" s="17" t="s">
        <v>83</v>
      </c>
      <c r="G192" s="11" t="s">
        <v>212</v>
      </c>
      <c r="H192" s="11" t="s">
        <v>217</v>
      </c>
      <c r="I192" s="17" t="s">
        <v>138</v>
      </c>
      <c r="J192" s="17">
        <v>17.277450000000002</v>
      </c>
      <c r="K192" s="17">
        <v>-97.671086023314004</v>
      </c>
      <c r="L192" s="17" t="str">
        <f>HYPERLINK("https://maps.google.com/?q=17.27745,-97.671086023314", "🔗 Ver Mapa")</f>
        <v>🔗 Ver Mapa</v>
      </c>
    </row>
    <row r="193" spans="1:12" ht="43.5" x14ac:dyDescent="0.35">
      <c r="A193" s="5" t="s">
        <v>7</v>
      </c>
      <c r="B193" s="5" t="s">
        <v>20</v>
      </c>
      <c r="C193" s="5" t="s">
        <v>216</v>
      </c>
      <c r="D193" s="8" t="s">
        <v>67</v>
      </c>
      <c r="E193" s="16" t="s">
        <v>73</v>
      </c>
      <c r="F193" s="16" t="s">
        <v>83</v>
      </c>
      <c r="G193" s="8" t="s">
        <v>212</v>
      </c>
      <c r="H193" s="8" t="s">
        <v>217</v>
      </c>
      <c r="I193" s="16" t="s">
        <v>138</v>
      </c>
      <c r="J193" s="16">
        <v>17.277642877641998</v>
      </c>
      <c r="K193" s="16">
        <v>-97.670889201223005</v>
      </c>
      <c r="L193" s="16" t="str">
        <f>HYPERLINK("https://maps.google.com/?q=17.277642877642,-97.670889201223", "🔗 Ver Mapa")</f>
        <v>🔗 Ver Mapa</v>
      </c>
    </row>
    <row r="194" spans="1:12" ht="43.5" x14ac:dyDescent="0.35">
      <c r="A194" s="6" t="s">
        <v>7</v>
      </c>
      <c r="B194" s="6" t="s">
        <v>20</v>
      </c>
      <c r="C194" s="6" t="s">
        <v>216</v>
      </c>
      <c r="D194" s="11" t="s">
        <v>67</v>
      </c>
      <c r="E194" s="17" t="s">
        <v>73</v>
      </c>
      <c r="F194" s="17" t="s">
        <v>83</v>
      </c>
      <c r="G194" s="11" t="s">
        <v>212</v>
      </c>
      <c r="H194" s="11" t="s">
        <v>217</v>
      </c>
      <c r="I194" s="17" t="s">
        <v>138</v>
      </c>
      <c r="J194" s="17">
        <v>17.277667000000001</v>
      </c>
      <c r="K194" s="17">
        <v>-97.671043387731999</v>
      </c>
      <c r="L194" s="17" t="str">
        <f>HYPERLINK("https://maps.google.com/?q=17.277667,-97.671043387732", "🔗 Ver Mapa")</f>
        <v>🔗 Ver Mapa</v>
      </c>
    </row>
    <row r="195" spans="1:12" ht="43.5" x14ac:dyDescent="0.35">
      <c r="A195" s="5" t="s">
        <v>7</v>
      </c>
      <c r="B195" s="5" t="s">
        <v>20</v>
      </c>
      <c r="C195" s="5" t="s">
        <v>216</v>
      </c>
      <c r="D195" s="8" t="s">
        <v>67</v>
      </c>
      <c r="E195" s="16" t="s">
        <v>73</v>
      </c>
      <c r="F195" s="16" t="s">
        <v>83</v>
      </c>
      <c r="G195" s="8" t="s">
        <v>212</v>
      </c>
      <c r="H195" s="8" t="s">
        <v>217</v>
      </c>
      <c r="I195" s="16" t="s">
        <v>138</v>
      </c>
      <c r="J195" s="16">
        <v>17.277874000000001</v>
      </c>
      <c r="K195" s="16">
        <v>-97.670918999999998</v>
      </c>
      <c r="L195" s="16" t="str">
        <f>HYPERLINK("https://maps.google.com/?q=17.277874,-97.670919", "🔗 Ver Mapa")</f>
        <v>🔗 Ver Mapa</v>
      </c>
    </row>
    <row r="196" spans="1:12" ht="43.5" x14ac:dyDescent="0.35">
      <c r="A196" s="6" t="s">
        <v>7</v>
      </c>
      <c r="B196" s="6" t="s">
        <v>20</v>
      </c>
      <c r="C196" s="6" t="s">
        <v>216</v>
      </c>
      <c r="D196" s="11" t="s">
        <v>67</v>
      </c>
      <c r="E196" s="17" t="s">
        <v>73</v>
      </c>
      <c r="F196" s="17" t="s">
        <v>83</v>
      </c>
      <c r="G196" s="11" t="s">
        <v>212</v>
      </c>
      <c r="H196" s="11" t="s">
        <v>217</v>
      </c>
      <c r="I196" s="17" t="s">
        <v>138</v>
      </c>
      <c r="J196" s="17">
        <v>17.278109000000001</v>
      </c>
      <c r="K196" s="17">
        <v>-97.67089</v>
      </c>
      <c r="L196" s="17" t="str">
        <f>HYPERLINK("https://maps.google.com/?q=17.278109,-97.67089", "🔗 Ver Mapa")</f>
        <v>🔗 Ver Mapa</v>
      </c>
    </row>
    <row r="197" spans="1:12" ht="43.5" x14ac:dyDescent="0.35">
      <c r="A197" s="5" t="s">
        <v>7</v>
      </c>
      <c r="B197" s="5" t="s">
        <v>20</v>
      </c>
      <c r="C197" s="5" t="s">
        <v>216</v>
      </c>
      <c r="D197" s="8" t="s">
        <v>67</v>
      </c>
      <c r="E197" s="16" t="s">
        <v>73</v>
      </c>
      <c r="F197" s="16" t="s">
        <v>83</v>
      </c>
      <c r="G197" s="8" t="s">
        <v>212</v>
      </c>
      <c r="H197" s="8" t="s">
        <v>217</v>
      </c>
      <c r="I197" s="16" t="s">
        <v>138</v>
      </c>
      <c r="J197" s="16">
        <v>17.278344000000001</v>
      </c>
      <c r="K197" s="16">
        <v>-97.670868999999996</v>
      </c>
      <c r="L197" s="16" t="str">
        <f>HYPERLINK("https://maps.google.com/?q=17.278344,-97.670869", "🔗 Ver Mapa")</f>
        <v>🔗 Ver Mapa</v>
      </c>
    </row>
    <row r="198" spans="1:12" ht="43.5" x14ac:dyDescent="0.35">
      <c r="A198" s="6" t="s">
        <v>7</v>
      </c>
      <c r="B198" s="6" t="s">
        <v>20</v>
      </c>
      <c r="C198" s="6" t="s">
        <v>216</v>
      </c>
      <c r="D198" s="11" t="s">
        <v>67</v>
      </c>
      <c r="E198" s="17" t="s">
        <v>73</v>
      </c>
      <c r="F198" s="17" t="s">
        <v>83</v>
      </c>
      <c r="G198" s="11" t="s">
        <v>212</v>
      </c>
      <c r="H198" s="11" t="s">
        <v>217</v>
      </c>
      <c r="I198" s="17" t="s">
        <v>138</v>
      </c>
      <c r="J198" s="17">
        <v>17.278559999999999</v>
      </c>
      <c r="K198" s="17">
        <v>-97.670829999999995</v>
      </c>
      <c r="L198" s="17" t="str">
        <f>HYPERLINK("https://maps.google.com/?q=17.27856,-97.67083", "🔗 Ver Mapa")</f>
        <v>🔗 Ver Mapa</v>
      </c>
    </row>
    <row r="199" spans="1:12" ht="43.5" x14ac:dyDescent="0.35">
      <c r="A199" s="5" t="s">
        <v>7</v>
      </c>
      <c r="B199" s="5" t="s">
        <v>20</v>
      </c>
      <c r="C199" s="5" t="s">
        <v>218</v>
      </c>
      <c r="D199" s="8" t="s">
        <v>219</v>
      </c>
      <c r="E199" s="16" t="s">
        <v>74</v>
      </c>
      <c r="F199" s="16" t="s">
        <v>89</v>
      </c>
      <c r="G199" s="8" t="s">
        <v>220</v>
      </c>
      <c r="H199" s="8" t="s">
        <v>221</v>
      </c>
      <c r="I199" s="16" t="s">
        <v>138</v>
      </c>
      <c r="J199" s="16">
        <v>15.905696737084</v>
      </c>
      <c r="K199" s="16">
        <v>-96.220948339119005</v>
      </c>
      <c r="L199" s="16" t="str">
        <f>HYPERLINK("https://maps.google.com/?q=15.905696737084,-96.220948339119", "🔗 Ver Mapa")</f>
        <v>🔗 Ver Mapa</v>
      </c>
    </row>
    <row r="200" spans="1:12" ht="43.5" x14ac:dyDescent="0.35">
      <c r="A200" s="6" t="s">
        <v>7</v>
      </c>
      <c r="B200" s="6" t="s">
        <v>20</v>
      </c>
      <c r="C200" s="6" t="s">
        <v>218</v>
      </c>
      <c r="D200" s="11" t="s">
        <v>219</v>
      </c>
      <c r="E200" s="17" t="s">
        <v>74</v>
      </c>
      <c r="F200" s="17" t="s">
        <v>89</v>
      </c>
      <c r="G200" s="11" t="s">
        <v>220</v>
      </c>
      <c r="H200" s="11" t="s">
        <v>221</v>
      </c>
      <c r="I200" s="17" t="s">
        <v>138</v>
      </c>
      <c r="J200" s="17">
        <v>15.905836321995</v>
      </c>
      <c r="K200" s="17">
        <v>-96.219163862523999</v>
      </c>
      <c r="L200" s="17" t="str">
        <f>HYPERLINK("https://maps.google.com/?q=15.905836321995,-96.219163862524", "🔗 Ver Mapa")</f>
        <v>🔗 Ver Mapa</v>
      </c>
    </row>
    <row r="201" spans="1:12" ht="43.5" x14ac:dyDescent="0.35">
      <c r="A201" s="5" t="s">
        <v>7</v>
      </c>
      <c r="B201" s="5" t="s">
        <v>20</v>
      </c>
      <c r="C201" s="5" t="s">
        <v>218</v>
      </c>
      <c r="D201" s="8" t="s">
        <v>219</v>
      </c>
      <c r="E201" s="16" t="s">
        <v>74</v>
      </c>
      <c r="F201" s="16" t="s">
        <v>89</v>
      </c>
      <c r="G201" s="8" t="s">
        <v>220</v>
      </c>
      <c r="H201" s="8" t="s">
        <v>221</v>
      </c>
      <c r="I201" s="16" t="s">
        <v>138</v>
      </c>
      <c r="J201" s="16">
        <v>15.905839701788</v>
      </c>
      <c r="K201" s="16">
        <v>-96.218725176527002</v>
      </c>
      <c r="L201" s="16" t="str">
        <f>HYPERLINK("https://maps.google.com/?q=15.905839701788,-96.218725176527", "🔗 Ver Mapa")</f>
        <v>🔗 Ver Mapa</v>
      </c>
    </row>
    <row r="202" spans="1:12" ht="43.5" x14ac:dyDescent="0.35">
      <c r="A202" s="6" t="s">
        <v>7</v>
      </c>
      <c r="B202" s="6" t="s">
        <v>20</v>
      </c>
      <c r="C202" s="6" t="s">
        <v>218</v>
      </c>
      <c r="D202" s="11" t="s">
        <v>219</v>
      </c>
      <c r="E202" s="17" t="s">
        <v>74</v>
      </c>
      <c r="F202" s="17" t="s">
        <v>89</v>
      </c>
      <c r="G202" s="11" t="s">
        <v>220</v>
      </c>
      <c r="H202" s="11" t="s">
        <v>221</v>
      </c>
      <c r="I202" s="17" t="s">
        <v>138</v>
      </c>
      <c r="J202" s="17">
        <v>15.905902719601</v>
      </c>
      <c r="K202" s="17">
        <v>-96.221514806621997</v>
      </c>
      <c r="L202" s="17" t="str">
        <f>HYPERLINK("https://maps.google.com/?q=15.905902719601,-96.221514806622", "🔗 Ver Mapa")</f>
        <v>🔗 Ver Mapa</v>
      </c>
    </row>
    <row r="203" spans="1:12" ht="43.5" x14ac:dyDescent="0.35">
      <c r="A203" s="5" t="s">
        <v>7</v>
      </c>
      <c r="B203" s="5" t="s">
        <v>20</v>
      </c>
      <c r="C203" s="5" t="s">
        <v>218</v>
      </c>
      <c r="D203" s="8" t="s">
        <v>219</v>
      </c>
      <c r="E203" s="16" t="s">
        <v>74</v>
      </c>
      <c r="F203" s="16" t="s">
        <v>89</v>
      </c>
      <c r="G203" s="8" t="s">
        <v>220</v>
      </c>
      <c r="H203" s="8" t="s">
        <v>221</v>
      </c>
      <c r="I203" s="16" t="s">
        <v>138</v>
      </c>
      <c r="J203" s="16">
        <v>15.905980524763001</v>
      </c>
      <c r="K203" s="16">
        <v>-96.220543128515004</v>
      </c>
      <c r="L203" s="16" t="str">
        <f>HYPERLINK("https://maps.google.com/?q=15.905980524763,-96.220543128515", "🔗 Ver Mapa")</f>
        <v>🔗 Ver Mapa</v>
      </c>
    </row>
    <row r="204" spans="1:12" ht="43.5" x14ac:dyDescent="0.35">
      <c r="A204" s="6" t="s">
        <v>7</v>
      </c>
      <c r="B204" s="6" t="s">
        <v>20</v>
      </c>
      <c r="C204" s="6" t="s">
        <v>218</v>
      </c>
      <c r="D204" s="11" t="s">
        <v>219</v>
      </c>
      <c r="E204" s="17" t="s">
        <v>74</v>
      </c>
      <c r="F204" s="17" t="s">
        <v>89</v>
      </c>
      <c r="G204" s="11" t="s">
        <v>220</v>
      </c>
      <c r="H204" s="11" t="s">
        <v>221</v>
      </c>
      <c r="I204" s="17" t="s">
        <v>138</v>
      </c>
      <c r="J204" s="17">
        <v>15.906091694060001</v>
      </c>
      <c r="K204" s="17">
        <v>-96.218656380148005</v>
      </c>
      <c r="L204" s="17" t="str">
        <f>HYPERLINK("https://maps.google.com/?q=15.90609169406,-96.218656380148", "🔗 Ver Mapa")</f>
        <v>🔗 Ver Mapa</v>
      </c>
    </row>
    <row r="205" spans="1:12" ht="43.5" x14ac:dyDescent="0.35">
      <c r="A205" s="5" t="s">
        <v>7</v>
      </c>
      <c r="B205" s="5" t="s">
        <v>20</v>
      </c>
      <c r="C205" s="5" t="s">
        <v>218</v>
      </c>
      <c r="D205" s="8" t="s">
        <v>219</v>
      </c>
      <c r="E205" s="16" t="s">
        <v>74</v>
      </c>
      <c r="F205" s="16" t="s">
        <v>89</v>
      </c>
      <c r="G205" s="8" t="s">
        <v>220</v>
      </c>
      <c r="H205" s="8" t="s">
        <v>221</v>
      </c>
      <c r="I205" s="16" t="s">
        <v>138</v>
      </c>
      <c r="J205" s="16">
        <v>15.906284654124001</v>
      </c>
      <c r="K205" s="16">
        <v>-96.220314959996003</v>
      </c>
      <c r="L205" s="16" t="str">
        <f>HYPERLINK("https://maps.google.com/?q=15.906284654124,-96.220314959996", "🔗 Ver Mapa")</f>
        <v>🔗 Ver Mapa</v>
      </c>
    </row>
    <row r="206" spans="1:12" ht="43.5" x14ac:dyDescent="0.35">
      <c r="A206" s="6" t="s">
        <v>7</v>
      </c>
      <c r="B206" s="6" t="s">
        <v>20</v>
      </c>
      <c r="C206" s="6" t="s">
        <v>218</v>
      </c>
      <c r="D206" s="11" t="s">
        <v>219</v>
      </c>
      <c r="E206" s="17" t="s">
        <v>74</v>
      </c>
      <c r="F206" s="17" t="s">
        <v>89</v>
      </c>
      <c r="G206" s="11" t="s">
        <v>220</v>
      </c>
      <c r="H206" s="11" t="s">
        <v>221</v>
      </c>
      <c r="I206" s="17" t="s">
        <v>138</v>
      </c>
      <c r="J206" s="17">
        <v>15.906317850269</v>
      </c>
      <c r="K206" s="17">
        <v>-96.221490435161996</v>
      </c>
      <c r="L206" s="17" t="str">
        <f>HYPERLINK("https://maps.google.com/?q=15.906317850269,-96.221490435162", "🔗 Ver Mapa")</f>
        <v>🔗 Ver Mapa</v>
      </c>
    </row>
    <row r="207" spans="1:12" ht="43.5" x14ac:dyDescent="0.35">
      <c r="A207" s="5" t="s">
        <v>7</v>
      </c>
      <c r="B207" s="5" t="s">
        <v>20</v>
      </c>
      <c r="C207" s="5" t="s">
        <v>218</v>
      </c>
      <c r="D207" s="8" t="s">
        <v>219</v>
      </c>
      <c r="E207" s="16" t="s">
        <v>74</v>
      </c>
      <c r="F207" s="16" t="s">
        <v>89</v>
      </c>
      <c r="G207" s="8" t="s">
        <v>220</v>
      </c>
      <c r="H207" s="8" t="s">
        <v>221</v>
      </c>
      <c r="I207" s="16" t="s">
        <v>138</v>
      </c>
      <c r="J207" s="16">
        <v>15.906439995185</v>
      </c>
      <c r="K207" s="16">
        <v>-96.219052897504</v>
      </c>
      <c r="L207" s="16" t="str">
        <f>HYPERLINK("https://maps.google.com/?q=15.906439995185,-96.219052897504", "🔗 Ver Mapa")</f>
        <v>🔗 Ver Mapa</v>
      </c>
    </row>
    <row r="208" spans="1:12" ht="43.5" x14ac:dyDescent="0.35">
      <c r="A208" s="6" t="s">
        <v>7</v>
      </c>
      <c r="B208" s="6" t="s">
        <v>20</v>
      </c>
      <c r="C208" s="6" t="s">
        <v>218</v>
      </c>
      <c r="D208" s="11" t="s">
        <v>219</v>
      </c>
      <c r="E208" s="17" t="s">
        <v>74</v>
      </c>
      <c r="F208" s="17" t="s">
        <v>89</v>
      </c>
      <c r="G208" s="11" t="s">
        <v>220</v>
      </c>
      <c r="H208" s="11" t="s">
        <v>221</v>
      </c>
      <c r="I208" s="17" t="s">
        <v>138</v>
      </c>
      <c r="J208" s="17">
        <v>15.906488373904001</v>
      </c>
      <c r="K208" s="17">
        <v>-96.220004176464997</v>
      </c>
      <c r="L208" s="17" t="str">
        <f>HYPERLINK("https://maps.google.com/?q=15.906488373904,-96.220004176465", "🔗 Ver Mapa")</f>
        <v>🔗 Ver Mapa</v>
      </c>
    </row>
    <row r="209" spans="1:12" ht="43.5" x14ac:dyDescent="0.35">
      <c r="A209" s="5" t="s">
        <v>7</v>
      </c>
      <c r="B209" s="5" t="s">
        <v>20</v>
      </c>
      <c r="C209" s="5" t="s">
        <v>218</v>
      </c>
      <c r="D209" s="8" t="s">
        <v>219</v>
      </c>
      <c r="E209" s="16" t="s">
        <v>74</v>
      </c>
      <c r="F209" s="16" t="s">
        <v>89</v>
      </c>
      <c r="G209" s="8" t="s">
        <v>220</v>
      </c>
      <c r="H209" s="8" t="s">
        <v>221</v>
      </c>
      <c r="I209" s="16" t="s">
        <v>138</v>
      </c>
      <c r="J209" s="16">
        <v>15.906536423348999</v>
      </c>
      <c r="K209" s="16">
        <v>-96.219527543205004</v>
      </c>
      <c r="L209" s="16" t="str">
        <f>HYPERLINK("https://maps.google.com/?q=15.906536423349,-96.219527543205", "🔗 Ver Mapa")</f>
        <v>🔗 Ver Mapa</v>
      </c>
    </row>
    <row r="210" spans="1:12" ht="43.5" x14ac:dyDescent="0.35">
      <c r="A210" s="6" t="s">
        <v>7</v>
      </c>
      <c r="B210" s="6" t="s">
        <v>20</v>
      </c>
      <c r="C210" s="6" t="s">
        <v>218</v>
      </c>
      <c r="D210" s="11" t="s">
        <v>219</v>
      </c>
      <c r="E210" s="17" t="s">
        <v>74</v>
      </c>
      <c r="F210" s="17" t="s">
        <v>89</v>
      </c>
      <c r="G210" s="11" t="s">
        <v>220</v>
      </c>
      <c r="H210" s="11" t="s">
        <v>221</v>
      </c>
      <c r="I210" s="17" t="s">
        <v>138</v>
      </c>
      <c r="J210" s="17">
        <v>15.906566120306</v>
      </c>
      <c r="K210" s="17">
        <v>-96.221132376054996</v>
      </c>
      <c r="L210" s="17" t="str">
        <f>HYPERLINK("https://maps.google.com/?q=15.906566120306,-96.221132376055", "🔗 Ver Mapa")</f>
        <v>🔗 Ver Mapa</v>
      </c>
    </row>
    <row r="211" spans="1:12" ht="43.5" x14ac:dyDescent="0.35">
      <c r="A211" s="5" t="s">
        <v>7</v>
      </c>
      <c r="B211" s="5" t="s">
        <v>20</v>
      </c>
      <c r="C211" s="5" t="s">
        <v>218</v>
      </c>
      <c r="D211" s="8" t="s">
        <v>219</v>
      </c>
      <c r="E211" s="16" t="s">
        <v>74</v>
      </c>
      <c r="F211" s="16" t="s">
        <v>89</v>
      </c>
      <c r="G211" s="8" t="s">
        <v>220</v>
      </c>
      <c r="H211" s="8" t="s">
        <v>221</v>
      </c>
      <c r="I211" s="16" t="s">
        <v>138</v>
      </c>
      <c r="J211" s="16">
        <v>15.907031585258</v>
      </c>
      <c r="K211" s="16">
        <v>-96.220808661150002</v>
      </c>
      <c r="L211" s="16" t="str">
        <f>HYPERLINK("https://maps.google.com/?q=15.907031585258,-96.22080866115", "🔗 Ver Mapa")</f>
        <v>🔗 Ver Mapa</v>
      </c>
    </row>
    <row r="212" spans="1:12" ht="43.5" x14ac:dyDescent="0.35">
      <c r="A212" s="6" t="s">
        <v>7</v>
      </c>
      <c r="B212" s="6" t="s">
        <v>20</v>
      </c>
      <c r="C212" s="6" t="s">
        <v>218</v>
      </c>
      <c r="D212" s="11" t="s">
        <v>219</v>
      </c>
      <c r="E212" s="17" t="s">
        <v>74</v>
      </c>
      <c r="F212" s="17" t="s">
        <v>89</v>
      </c>
      <c r="G212" s="11" t="s">
        <v>220</v>
      </c>
      <c r="H212" s="11" t="s">
        <v>221</v>
      </c>
      <c r="I212" s="17" t="s">
        <v>138</v>
      </c>
      <c r="J212" s="17">
        <v>15.907473564649001</v>
      </c>
      <c r="K212" s="17">
        <v>-96.220765252869001</v>
      </c>
      <c r="L212" s="17" t="str">
        <f>HYPERLINK("https://maps.google.com/?q=15.907473564649,-96.220765252869", "🔗 Ver Mapa")</f>
        <v>🔗 Ver Mapa</v>
      </c>
    </row>
    <row r="213" spans="1:12" ht="43.5" x14ac:dyDescent="0.35">
      <c r="A213" s="5" t="s">
        <v>7</v>
      </c>
      <c r="B213" s="5" t="s">
        <v>20</v>
      </c>
      <c r="C213" s="5" t="s">
        <v>218</v>
      </c>
      <c r="D213" s="8" t="s">
        <v>219</v>
      </c>
      <c r="E213" s="16" t="s">
        <v>74</v>
      </c>
      <c r="F213" s="16" t="s">
        <v>89</v>
      </c>
      <c r="G213" s="8" t="s">
        <v>220</v>
      </c>
      <c r="H213" s="8" t="s">
        <v>221</v>
      </c>
      <c r="I213" s="16" t="s">
        <v>138</v>
      </c>
      <c r="J213" s="16">
        <v>15.907866549987</v>
      </c>
      <c r="K213" s="16">
        <v>-96.220423866386</v>
      </c>
      <c r="L213" s="16" t="str">
        <f>HYPERLINK("https://maps.google.com/?q=15.907866549987,-96.220423866386", "🔗 Ver Mapa")</f>
        <v>🔗 Ver Mapa</v>
      </c>
    </row>
    <row r="214" spans="1:12" ht="43.5" x14ac:dyDescent="0.35">
      <c r="A214" s="6" t="s">
        <v>7</v>
      </c>
      <c r="B214" s="6" t="s">
        <v>20</v>
      </c>
      <c r="C214" s="6" t="s">
        <v>218</v>
      </c>
      <c r="D214" s="11" t="s">
        <v>219</v>
      </c>
      <c r="E214" s="17" t="s">
        <v>74</v>
      </c>
      <c r="F214" s="17" t="s">
        <v>89</v>
      </c>
      <c r="G214" s="11" t="s">
        <v>220</v>
      </c>
      <c r="H214" s="11" t="s">
        <v>221</v>
      </c>
      <c r="I214" s="17" t="s">
        <v>138</v>
      </c>
      <c r="J214" s="17">
        <v>15.908279637162</v>
      </c>
      <c r="K214" s="17">
        <v>-96.220240860952003</v>
      </c>
      <c r="L214" s="17" t="str">
        <f>HYPERLINK("https://maps.google.com/?q=15.908279637162,-96.220240860952", "🔗 Ver Mapa")</f>
        <v>🔗 Ver Mapa</v>
      </c>
    </row>
    <row r="215" spans="1:12" ht="43.5" x14ac:dyDescent="0.35">
      <c r="A215" s="5" t="s">
        <v>7</v>
      </c>
      <c r="B215" s="5" t="s">
        <v>20</v>
      </c>
      <c r="C215" s="5" t="s">
        <v>218</v>
      </c>
      <c r="D215" s="8" t="s">
        <v>219</v>
      </c>
      <c r="E215" s="16" t="s">
        <v>74</v>
      </c>
      <c r="F215" s="16" t="s">
        <v>89</v>
      </c>
      <c r="G215" s="8" t="s">
        <v>220</v>
      </c>
      <c r="H215" s="8" t="s">
        <v>221</v>
      </c>
      <c r="I215" s="16" t="s">
        <v>138</v>
      </c>
      <c r="J215" s="16">
        <v>15.908339277310001</v>
      </c>
      <c r="K215" s="16">
        <v>-96.217860158370996</v>
      </c>
      <c r="L215" s="16" t="str">
        <f>HYPERLINK("https://maps.google.com/?q=15.90833927731,-96.217860158371", "🔗 Ver Mapa")</f>
        <v>🔗 Ver Mapa</v>
      </c>
    </row>
    <row r="216" spans="1:12" ht="43.5" x14ac:dyDescent="0.35">
      <c r="A216" s="6" t="s">
        <v>7</v>
      </c>
      <c r="B216" s="6" t="s">
        <v>20</v>
      </c>
      <c r="C216" s="6" t="s">
        <v>218</v>
      </c>
      <c r="D216" s="11" t="s">
        <v>219</v>
      </c>
      <c r="E216" s="17" t="s">
        <v>74</v>
      </c>
      <c r="F216" s="17" t="s">
        <v>89</v>
      </c>
      <c r="G216" s="11" t="s">
        <v>220</v>
      </c>
      <c r="H216" s="11" t="s">
        <v>221</v>
      </c>
      <c r="I216" s="17" t="s">
        <v>138</v>
      </c>
      <c r="J216" s="17">
        <v>15.908458115753</v>
      </c>
      <c r="K216" s="17">
        <v>-96.217270551921004</v>
      </c>
      <c r="L216" s="17" t="str">
        <f>HYPERLINK("https://maps.google.com/?q=15.908458115753,-96.217270551921", "🔗 Ver Mapa")</f>
        <v>🔗 Ver Mapa</v>
      </c>
    </row>
    <row r="217" spans="1:12" ht="43.5" x14ac:dyDescent="0.35">
      <c r="A217" s="5" t="s">
        <v>7</v>
      </c>
      <c r="B217" s="5" t="s">
        <v>20</v>
      </c>
      <c r="C217" s="5" t="s">
        <v>218</v>
      </c>
      <c r="D217" s="8" t="s">
        <v>219</v>
      </c>
      <c r="E217" s="16" t="s">
        <v>74</v>
      </c>
      <c r="F217" s="16" t="s">
        <v>89</v>
      </c>
      <c r="G217" s="8" t="s">
        <v>220</v>
      </c>
      <c r="H217" s="8" t="s">
        <v>221</v>
      </c>
      <c r="I217" s="16" t="s">
        <v>138</v>
      </c>
      <c r="J217" s="16">
        <v>15.908472910116</v>
      </c>
      <c r="K217" s="16">
        <v>-96.218418291240994</v>
      </c>
      <c r="L217" s="16" t="str">
        <f>HYPERLINK("https://maps.google.com/?q=15.908472910116,-96.218418291241", "🔗 Ver Mapa")</f>
        <v>🔗 Ver Mapa</v>
      </c>
    </row>
    <row r="218" spans="1:12" ht="43.5" x14ac:dyDescent="0.35">
      <c r="A218" s="6" t="s">
        <v>7</v>
      </c>
      <c r="B218" s="6" t="s">
        <v>20</v>
      </c>
      <c r="C218" s="6" t="s">
        <v>218</v>
      </c>
      <c r="D218" s="11" t="s">
        <v>219</v>
      </c>
      <c r="E218" s="17" t="s">
        <v>74</v>
      </c>
      <c r="F218" s="17" t="s">
        <v>89</v>
      </c>
      <c r="G218" s="11" t="s">
        <v>220</v>
      </c>
      <c r="H218" s="11" t="s">
        <v>221</v>
      </c>
      <c r="I218" s="17" t="s">
        <v>138</v>
      </c>
      <c r="J218" s="17">
        <v>15.908576553741</v>
      </c>
      <c r="K218" s="17">
        <v>-96.219452814787005</v>
      </c>
      <c r="L218" s="17" t="str">
        <f>HYPERLINK("https://maps.google.com/?q=15.908576553741,-96.219452814787", "🔗 Ver Mapa")</f>
        <v>🔗 Ver Mapa</v>
      </c>
    </row>
    <row r="219" spans="1:12" ht="43.5" x14ac:dyDescent="0.35">
      <c r="A219" s="5" t="s">
        <v>7</v>
      </c>
      <c r="B219" s="5" t="s">
        <v>20</v>
      </c>
      <c r="C219" s="5" t="s">
        <v>218</v>
      </c>
      <c r="D219" s="8" t="s">
        <v>219</v>
      </c>
      <c r="E219" s="16" t="s">
        <v>74</v>
      </c>
      <c r="F219" s="16" t="s">
        <v>89</v>
      </c>
      <c r="G219" s="8" t="s">
        <v>220</v>
      </c>
      <c r="H219" s="8" t="s">
        <v>221</v>
      </c>
      <c r="I219" s="16" t="s">
        <v>138</v>
      </c>
      <c r="J219" s="16">
        <v>15.908645051131</v>
      </c>
      <c r="K219" s="16">
        <v>-96.219862519621998</v>
      </c>
      <c r="L219" s="16" t="str">
        <f>HYPERLINK("https://maps.google.com/?q=15.908645051131,-96.219862519622", "🔗 Ver Mapa")</f>
        <v>🔗 Ver Mapa</v>
      </c>
    </row>
    <row r="220" spans="1:12" ht="43.5" x14ac:dyDescent="0.35">
      <c r="A220" s="6" t="s">
        <v>7</v>
      </c>
      <c r="B220" s="6" t="s">
        <v>20</v>
      </c>
      <c r="C220" s="6" t="s">
        <v>218</v>
      </c>
      <c r="D220" s="11" t="s">
        <v>219</v>
      </c>
      <c r="E220" s="17" t="s">
        <v>74</v>
      </c>
      <c r="F220" s="17" t="s">
        <v>89</v>
      </c>
      <c r="G220" s="11" t="s">
        <v>220</v>
      </c>
      <c r="H220" s="11" t="s">
        <v>221</v>
      </c>
      <c r="I220" s="17" t="s">
        <v>138</v>
      </c>
      <c r="J220" s="17">
        <v>15.908775968238</v>
      </c>
      <c r="K220" s="17">
        <v>-96.216706203011995</v>
      </c>
      <c r="L220" s="17" t="str">
        <f>HYPERLINK("https://maps.google.com/?q=15.908775968238,-96.216706203012", "🔗 Ver Mapa")</f>
        <v>🔗 Ver Mapa</v>
      </c>
    </row>
    <row r="221" spans="1:12" ht="43.5" x14ac:dyDescent="0.35">
      <c r="A221" s="5" t="s">
        <v>7</v>
      </c>
      <c r="B221" s="5" t="s">
        <v>20</v>
      </c>
      <c r="C221" s="5" t="s">
        <v>218</v>
      </c>
      <c r="D221" s="8" t="s">
        <v>219</v>
      </c>
      <c r="E221" s="16" t="s">
        <v>74</v>
      </c>
      <c r="F221" s="16" t="s">
        <v>89</v>
      </c>
      <c r="G221" s="8" t="s">
        <v>220</v>
      </c>
      <c r="H221" s="8" t="s">
        <v>221</v>
      </c>
      <c r="I221" s="16" t="s">
        <v>138</v>
      </c>
      <c r="J221" s="16">
        <v>15.908817112013001</v>
      </c>
      <c r="K221" s="16">
        <v>-96.219197517157994</v>
      </c>
      <c r="L221" s="16" t="str">
        <f>HYPERLINK("https://maps.google.com/?q=15.908817112013,-96.219197517158", "🔗 Ver Mapa")</f>
        <v>🔗 Ver Mapa</v>
      </c>
    </row>
    <row r="222" spans="1:12" ht="43.5" x14ac:dyDescent="0.35">
      <c r="A222" s="6" t="s">
        <v>7</v>
      </c>
      <c r="B222" s="6" t="s">
        <v>20</v>
      </c>
      <c r="C222" s="6" t="s">
        <v>218</v>
      </c>
      <c r="D222" s="11" t="s">
        <v>219</v>
      </c>
      <c r="E222" s="17" t="s">
        <v>74</v>
      </c>
      <c r="F222" s="17" t="s">
        <v>89</v>
      </c>
      <c r="G222" s="11" t="s">
        <v>220</v>
      </c>
      <c r="H222" s="11" t="s">
        <v>221</v>
      </c>
      <c r="I222" s="17" t="s">
        <v>138</v>
      </c>
      <c r="J222" s="17">
        <v>15.90888442074</v>
      </c>
      <c r="K222" s="17">
        <v>-96.218813942302006</v>
      </c>
      <c r="L222" s="17" t="str">
        <f>HYPERLINK("https://maps.google.com/?q=15.90888442074,-96.218813942302", "🔗 Ver Mapa")</f>
        <v>🔗 Ver Mapa</v>
      </c>
    </row>
    <row r="223" spans="1:12" ht="43.5" x14ac:dyDescent="0.35">
      <c r="A223" s="5" t="s">
        <v>7</v>
      </c>
      <c r="B223" s="5" t="s">
        <v>20</v>
      </c>
      <c r="C223" s="5" t="s">
        <v>218</v>
      </c>
      <c r="D223" s="8" t="s">
        <v>219</v>
      </c>
      <c r="E223" s="16" t="s">
        <v>74</v>
      </c>
      <c r="F223" s="16" t="s">
        <v>89</v>
      </c>
      <c r="G223" s="8" t="s">
        <v>220</v>
      </c>
      <c r="H223" s="8" t="s">
        <v>221</v>
      </c>
      <c r="I223" s="16" t="s">
        <v>138</v>
      </c>
      <c r="J223" s="16">
        <v>15.909150888475001</v>
      </c>
      <c r="K223" s="16">
        <v>-96.215665089110004</v>
      </c>
      <c r="L223" s="16" t="str">
        <f>HYPERLINK("https://maps.google.com/?q=15.909150888475,-96.21566508911", "🔗 Ver Mapa")</f>
        <v>🔗 Ver Mapa</v>
      </c>
    </row>
    <row r="224" spans="1:12" ht="43.5" x14ac:dyDescent="0.35">
      <c r="A224" s="6" t="s">
        <v>7</v>
      </c>
      <c r="B224" s="6" t="s">
        <v>20</v>
      </c>
      <c r="C224" s="6" t="s">
        <v>218</v>
      </c>
      <c r="D224" s="11" t="s">
        <v>219</v>
      </c>
      <c r="E224" s="17" t="s">
        <v>74</v>
      </c>
      <c r="F224" s="17" t="s">
        <v>89</v>
      </c>
      <c r="G224" s="11" t="s">
        <v>220</v>
      </c>
      <c r="H224" s="11" t="s">
        <v>221</v>
      </c>
      <c r="I224" s="17" t="s">
        <v>138</v>
      </c>
      <c r="J224" s="17">
        <v>15.909193748076</v>
      </c>
      <c r="K224" s="17">
        <v>-96.216187140515004</v>
      </c>
      <c r="L224" s="17" t="str">
        <f>HYPERLINK("https://maps.google.com/?q=15.909193748076,-96.216187140515", "🔗 Ver Mapa")</f>
        <v>🔗 Ver Mapa</v>
      </c>
    </row>
    <row r="225" spans="1:12" ht="43.5" x14ac:dyDescent="0.35">
      <c r="A225" s="5" t="s">
        <v>7</v>
      </c>
      <c r="B225" s="5" t="s">
        <v>20</v>
      </c>
      <c r="C225" s="5" t="s">
        <v>218</v>
      </c>
      <c r="D225" s="8" t="s">
        <v>219</v>
      </c>
      <c r="E225" s="16" t="s">
        <v>74</v>
      </c>
      <c r="F225" s="16" t="s">
        <v>89</v>
      </c>
      <c r="G225" s="8" t="s">
        <v>220</v>
      </c>
      <c r="H225" s="8" t="s">
        <v>221</v>
      </c>
      <c r="I225" s="16" t="s">
        <v>138</v>
      </c>
      <c r="J225" s="16">
        <v>15.909416604353</v>
      </c>
      <c r="K225" s="16">
        <v>-96.215260113843996</v>
      </c>
      <c r="L225" s="16" t="str">
        <f>HYPERLINK("https://maps.google.com/?q=15.909416604353,-96.215260113844", "🔗 Ver Mapa")</f>
        <v>🔗 Ver Mapa</v>
      </c>
    </row>
    <row r="226" spans="1:12" ht="43.5" x14ac:dyDescent="0.35">
      <c r="A226" s="6" t="s">
        <v>7</v>
      </c>
      <c r="B226" s="6" t="s">
        <v>20</v>
      </c>
      <c r="C226" s="6" t="s">
        <v>218</v>
      </c>
      <c r="D226" s="11" t="s">
        <v>219</v>
      </c>
      <c r="E226" s="17" t="s">
        <v>74</v>
      </c>
      <c r="F226" s="17" t="s">
        <v>89</v>
      </c>
      <c r="G226" s="11" t="s">
        <v>220</v>
      </c>
      <c r="H226" s="11" t="s">
        <v>221</v>
      </c>
      <c r="I226" s="17" t="s">
        <v>138</v>
      </c>
      <c r="J226" s="17">
        <v>15.909545307635</v>
      </c>
      <c r="K226" s="17">
        <v>-96.214735698043</v>
      </c>
      <c r="L226" s="17" t="str">
        <f>HYPERLINK("https://maps.google.com/?q=15.909545307635,-96.214735698043", "🔗 Ver Mapa")</f>
        <v>🔗 Ver Mapa</v>
      </c>
    </row>
    <row r="227" spans="1:12" ht="43.5" x14ac:dyDescent="0.35">
      <c r="A227" s="5" t="s">
        <v>7</v>
      </c>
      <c r="B227" s="5" t="s">
        <v>20</v>
      </c>
      <c r="C227" s="5" t="s">
        <v>218</v>
      </c>
      <c r="D227" s="8" t="s">
        <v>219</v>
      </c>
      <c r="E227" s="16" t="s">
        <v>74</v>
      </c>
      <c r="F227" s="16" t="s">
        <v>89</v>
      </c>
      <c r="G227" s="8" t="s">
        <v>220</v>
      </c>
      <c r="H227" s="8" t="s">
        <v>221</v>
      </c>
      <c r="I227" s="16" t="s">
        <v>138</v>
      </c>
      <c r="J227" s="16">
        <v>15.909775986414999</v>
      </c>
      <c r="K227" s="16">
        <v>-96.214415200044002</v>
      </c>
      <c r="L227" s="16" t="str">
        <f>HYPERLINK("https://maps.google.com/?q=15.909775986415,-96.214415200044", "🔗 Ver Mapa")</f>
        <v>🔗 Ver Mapa</v>
      </c>
    </row>
    <row r="228" spans="1:12" ht="43.5" x14ac:dyDescent="0.35">
      <c r="A228" s="6" t="s">
        <v>7</v>
      </c>
      <c r="B228" s="6" t="s">
        <v>20</v>
      </c>
      <c r="C228" s="6" t="s">
        <v>218</v>
      </c>
      <c r="D228" s="11" t="s">
        <v>219</v>
      </c>
      <c r="E228" s="17" t="s">
        <v>74</v>
      </c>
      <c r="F228" s="17" t="s">
        <v>89</v>
      </c>
      <c r="G228" s="11" t="s">
        <v>220</v>
      </c>
      <c r="H228" s="11" t="s">
        <v>221</v>
      </c>
      <c r="I228" s="17" t="s">
        <v>138</v>
      </c>
      <c r="J228" s="17">
        <v>15.910025205887001</v>
      </c>
      <c r="K228" s="17">
        <v>-96.214131777423006</v>
      </c>
      <c r="L228" s="17" t="str">
        <f>HYPERLINK("https://maps.google.com/?q=15.910025205887,-96.214131777423", "🔗 Ver Mapa")</f>
        <v>🔗 Ver Mapa</v>
      </c>
    </row>
    <row r="229" spans="1:12" ht="43.5" x14ac:dyDescent="0.35">
      <c r="A229" s="5" t="s">
        <v>7</v>
      </c>
      <c r="B229" s="5" t="s">
        <v>20</v>
      </c>
      <c r="C229" s="5" t="s">
        <v>218</v>
      </c>
      <c r="D229" s="8" t="s">
        <v>219</v>
      </c>
      <c r="E229" s="16" t="s">
        <v>74</v>
      </c>
      <c r="F229" s="16" t="s">
        <v>89</v>
      </c>
      <c r="G229" s="8" t="s">
        <v>220</v>
      </c>
      <c r="H229" s="8" t="s">
        <v>221</v>
      </c>
      <c r="I229" s="16" t="s">
        <v>138</v>
      </c>
      <c r="J229" s="16">
        <v>15.910469223984</v>
      </c>
      <c r="K229" s="16">
        <v>-96.213547014588997</v>
      </c>
      <c r="L229" s="16" t="str">
        <f>HYPERLINK("https://maps.google.com/?q=15.910469223984,-96.213547014589", "🔗 Ver Mapa")</f>
        <v>🔗 Ver Mapa</v>
      </c>
    </row>
    <row r="230" spans="1:12" ht="43.5" x14ac:dyDescent="0.35">
      <c r="A230" s="6" t="s">
        <v>7</v>
      </c>
      <c r="B230" s="6" t="s">
        <v>20</v>
      </c>
      <c r="C230" s="6" t="s">
        <v>218</v>
      </c>
      <c r="D230" s="11" t="s">
        <v>219</v>
      </c>
      <c r="E230" s="17" t="s">
        <v>74</v>
      </c>
      <c r="F230" s="17" t="s">
        <v>89</v>
      </c>
      <c r="G230" s="11" t="s">
        <v>220</v>
      </c>
      <c r="H230" s="11" t="s">
        <v>221</v>
      </c>
      <c r="I230" s="17" t="s">
        <v>138</v>
      </c>
      <c r="J230" s="17">
        <v>15.910888431516</v>
      </c>
      <c r="K230" s="17">
        <v>-96.212439946396003</v>
      </c>
      <c r="L230" s="17" t="str">
        <f>HYPERLINK("https://maps.google.com/?q=15.910888431516,-96.212439946396", "🔗 Ver Mapa")</f>
        <v>🔗 Ver Mapa</v>
      </c>
    </row>
    <row r="231" spans="1:12" ht="43.5" x14ac:dyDescent="0.35">
      <c r="A231" s="5" t="s">
        <v>7</v>
      </c>
      <c r="B231" s="5" t="s">
        <v>20</v>
      </c>
      <c r="C231" s="5" t="s">
        <v>218</v>
      </c>
      <c r="D231" s="8" t="s">
        <v>219</v>
      </c>
      <c r="E231" s="16" t="s">
        <v>74</v>
      </c>
      <c r="F231" s="16" t="s">
        <v>89</v>
      </c>
      <c r="G231" s="8" t="s">
        <v>220</v>
      </c>
      <c r="H231" s="8" t="s">
        <v>221</v>
      </c>
      <c r="I231" s="16" t="s">
        <v>138</v>
      </c>
      <c r="J231" s="16">
        <v>15.910913360576</v>
      </c>
      <c r="K231" s="16">
        <v>-96.212971580574006</v>
      </c>
      <c r="L231" s="16" t="str">
        <f>HYPERLINK("https://maps.google.com/?q=15.910913360576,-96.212971580574", "🔗 Ver Mapa")</f>
        <v>🔗 Ver Mapa</v>
      </c>
    </row>
    <row r="232" spans="1:12" ht="43.5" x14ac:dyDescent="0.35">
      <c r="A232" s="6" t="s">
        <v>7</v>
      </c>
      <c r="B232" s="6" t="s">
        <v>20</v>
      </c>
      <c r="C232" s="6" t="s">
        <v>218</v>
      </c>
      <c r="D232" s="11" t="s">
        <v>219</v>
      </c>
      <c r="E232" s="17" t="s">
        <v>74</v>
      </c>
      <c r="F232" s="17" t="s">
        <v>89</v>
      </c>
      <c r="G232" s="11" t="s">
        <v>220</v>
      </c>
      <c r="H232" s="11" t="s">
        <v>221</v>
      </c>
      <c r="I232" s="17" t="s">
        <v>138</v>
      </c>
      <c r="J232" s="17">
        <v>15.910963189787999</v>
      </c>
      <c r="K232" s="17">
        <v>-96.211934936031</v>
      </c>
      <c r="L232" s="17" t="str">
        <f>HYPERLINK("https://maps.google.com/?q=15.910963189788,-96.211934936031", "🔗 Ver Mapa")</f>
        <v>🔗 Ver Mapa</v>
      </c>
    </row>
    <row r="233" spans="1:12" ht="43.5" x14ac:dyDescent="0.35">
      <c r="A233" s="5" t="s">
        <v>7</v>
      </c>
      <c r="B233" s="5" t="s">
        <v>20</v>
      </c>
      <c r="C233" s="5" t="s">
        <v>218</v>
      </c>
      <c r="D233" s="8" t="s">
        <v>219</v>
      </c>
      <c r="E233" s="16" t="s">
        <v>74</v>
      </c>
      <c r="F233" s="16" t="s">
        <v>89</v>
      </c>
      <c r="G233" s="8" t="s">
        <v>220</v>
      </c>
      <c r="H233" s="8" t="s">
        <v>221</v>
      </c>
      <c r="I233" s="16" t="s">
        <v>138</v>
      </c>
      <c r="J233" s="16">
        <v>15.911036138139</v>
      </c>
      <c r="K233" s="16">
        <v>-96.211289956274001</v>
      </c>
      <c r="L233" s="16" t="str">
        <f>HYPERLINK("https://maps.google.com/?q=15.911036138139,-96.211289956274", "🔗 Ver Mapa")</f>
        <v>🔗 Ver Mapa</v>
      </c>
    </row>
    <row r="234" spans="1:12" ht="43.5" x14ac:dyDescent="0.35">
      <c r="A234" s="6" t="s">
        <v>7</v>
      </c>
      <c r="B234" s="6" t="s">
        <v>20</v>
      </c>
      <c r="C234" s="6" t="s">
        <v>218</v>
      </c>
      <c r="D234" s="11" t="s">
        <v>219</v>
      </c>
      <c r="E234" s="17" t="s">
        <v>74</v>
      </c>
      <c r="F234" s="17" t="s">
        <v>89</v>
      </c>
      <c r="G234" s="11" t="s">
        <v>220</v>
      </c>
      <c r="H234" s="11" t="s">
        <v>221</v>
      </c>
      <c r="I234" s="17" t="s">
        <v>138</v>
      </c>
      <c r="J234" s="17">
        <v>15.911272101772999</v>
      </c>
      <c r="K234" s="17">
        <v>-96.210680058010993</v>
      </c>
      <c r="L234" s="17" t="str">
        <f>HYPERLINK("https://maps.google.com/?q=15.911272101773,-96.210680058011", "🔗 Ver Mapa")</f>
        <v>🔗 Ver Mapa</v>
      </c>
    </row>
    <row r="235" spans="1:12" ht="43.5" x14ac:dyDescent="0.35">
      <c r="A235" s="5" t="s">
        <v>7</v>
      </c>
      <c r="B235" s="5" t="s">
        <v>20</v>
      </c>
      <c r="C235" s="5" t="s">
        <v>218</v>
      </c>
      <c r="D235" s="8" t="s">
        <v>219</v>
      </c>
      <c r="E235" s="16" t="s">
        <v>74</v>
      </c>
      <c r="F235" s="16" t="s">
        <v>89</v>
      </c>
      <c r="G235" s="8" t="s">
        <v>220</v>
      </c>
      <c r="H235" s="8" t="s">
        <v>221</v>
      </c>
      <c r="I235" s="16" t="s">
        <v>138</v>
      </c>
      <c r="J235" s="16">
        <v>15.911448353794</v>
      </c>
      <c r="K235" s="16">
        <v>-96.210341638668993</v>
      </c>
      <c r="L235" s="16" t="str">
        <f>HYPERLINK("https://maps.google.com/?q=15.911448353794,-96.210341638669", "🔗 Ver Mapa")</f>
        <v>🔗 Ver Mapa</v>
      </c>
    </row>
    <row r="236" spans="1:12" ht="43.5" x14ac:dyDescent="0.35">
      <c r="A236" s="6" t="s">
        <v>7</v>
      </c>
      <c r="B236" s="6" t="s">
        <v>20</v>
      </c>
      <c r="C236" s="6" t="s">
        <v>218</v>
      </c>
      <c r="D236" s="11" t="s">
        <v>219</v>
      </c>
      <c r="E236" s="17" t="s">
        <v>74</v>
      </c>
      <c r="F236" s="17" t="s">
        <v>89</v>
      </c>
      <c r="G236" s="11" t="s">
        <v>220</v>
      </c>
      <c r="H236" s="11" t="s">
        <v>221</v>
      </c>
      <c r="I236" s="17" t="s">
        <v>138</v>
      </c>
      <c r="J236" s="17">
        <v>15.911470135007001</v>
      </c>
      <c r="K236" s="17">
        <v>-96.209930687886995</v>
      </c>
      <c r="L236" s="17" t="str">
        <f>HYPERLINK("https://maps.google.com/?q=15.911470135007,-96.209930687887", "🔗 Ver Mapa")</f>
        <v>🔗 Ver Mapa</v>
      </c>
    </row>
    <row r="237" spans="1:12" ht="43.5" x14ac:dyDescent="0.35">
      <c r="A237" s="5" t="s">
        <v>7</v>
      </c>
      <c r="B237" s="5" t="s">
        <v>20</v>
      </c>
      <c r="C237" s="5" t="s">
        <v>218</v>
      </c>
      <c r="D237" s="8" t="s">
        <v>219</v>
      </c>
      <c r="E237" s="16" t="s">
        <v>74</v>
      </c>
      <c r="F237" s="16" t="s">
        <v>89</v>
      </c>
      <c r="G237" s="8" t="s">
        <v>220</v>
      </c>
      <c r="H237" s="8" t="s">
        <v>221</v>
      </c>
      <c r="I237" s="16" t="s">
        <v>138</v>
      </c>
      <c r="J237" s="16">
        <v>15.911550055206</v>
      </c>
      <c r="K237" s="16">
        <v>-96.209126950186999</v>
      </c>
      <c r="L237" s="16" t="str">
        <f>HYPERLINK("https://maps.google.com/?q=15.911550055206,-96.209126950187", "🔗 Ver Mapa")</f>
        <v>🔗 Ver Mapa</v>
      </c>
    </row>
    <row r="238" spans="1:12" ht="43.5" x14ac:dyDescent="0.35">
      <c r="A238" s="6" t="s">
        <v>7</v>
      </c>
      <c r="B238" s="6" t="s">
        <v>20</v>
      </c>
      <c r="C238" s="6" t="s">
        <v>218</v>
      </c>
      <c r="D238" s="11" t="s">
        <v>219</v>
      </c>
      <c r="E238" s="17" t="s">
        <v>74</v>
      </c>
      <c r="F238" s="17" t="s">
        <v>89</v>
      </c>
      <c r="G238" s="11" t="s">
        <v>220</v>
      </c>
      <c r="H238" s="11" t="s">
        <v>221</v>
      </c>
      <c r="I238" s="17" t="s">
        <v>138</v>
      </c>
      <c r="J238" s="17">
        <v>15.911582453794001</v>
      </c>
      <c r="K238" s="17">
        <v>-96.209537152807997</v>
      </c>
      <c r="L238" s="17" t="str">
        <f>HYPERLINK("https://maps.google.com/?q=15.911582453794,-96.209537152808", "🔗 Ver Mapa")</f>
        <v>🔗 Ver Mapa</v>
      </c>
    </row>
    <row r="239" spans="1:12" ht="43.5" x14ac:dyDescent="0.35">
      <c r="A239" s="5" t="s">
        <v>7</v>
      </c>
      <c r="B239" s="5" t="s">
        <v>20</v>
      </c>
      <c r="C239" s="5" t="s">
        <v>218</v>
      </c>
      <c r="D239" s="8" t="s">
        <v>219</v>
      </c>
      <c r="E239" s="16" t="s">
        <v>74</v>
      </c>
      <c r="F239" s="16" t="s">
        <v>89</v>
      </c>
      <c r="G239" s="8" t="s">
        <v>220</v>
      </c>
      <c r="H239" s="8" t="s">
        <v>221</v>
      </c>
      <c r="I239" s="16" t="s">
        <v>138</v>
      </c>
      <c r="J239" s="16">
        <v>15.911864564889999</v>
      </c>
      <c r="K239" s="16">
        <v>-96.210401223630996</v>
      </c>
      <c r="L239" s="16" t="str">
        <f>HYPERLINK("https://maps.google.com/?q=15.91186456489,-96.210401223631", "🔗 Ver Mapa")</f>
        <v>🔗 Ver Mapa</v>
      </c>
    </row>
    <row r="240" spans="1:12" ht="43.5" x14ac:dyDescent="0.35">
      <c r="A240" s="6" t="s">
        <v>7</v>
      </c>
      <c r="B240" s="6" t="s">
        <v>20</v>
      </c>
      <c r="C240" s="6" t="s">
        <v>218</v>
      </c>
      <c r="D240" s="11" t="s">
        <v>219</v>
      </c>
      <c r="E240" s="17" t="s">
        <v>74</v>
      </c>
      <c r="F240" s="17" t="s">
        <v>89</v>
      </c>
      <c r="G240" s="11" t="s">
        <v>220</v>
      </c>
      <c r="H240" s="11" t="s">
        <v>221</v>
      </c>
      <c r="I240" s="17" t="s">
        <v>138</v>
      </c>
      <c r="J240" s="17">
        <v>15.912499660308001</v>
      </c>
      <c r="K240" s="17">
        <v>-96.210625781066</v>
      </c>
      <c r="L240" s="17" t="str">
        <f>HYPERLINK("https://maps.google.com/?q=15.912499660308,-96.210625781066", "🔗 Ver Mapa")</f>
        <v>🔗 Ver Mapa</v>
      </c>
    </row>
    <row r="241" spans="1:12" ht="43.5" x14ac:dyDescent="0.35">
      <c r="A241" s="5" t="s">
        <v>7</v>
      </c>
      <c r="B241" s="5" t="s">
        <v>20</v>
      </c>
      <c r="C241" s="5" t="s">
        <v>218</v>
      </c>
      <c r="D241" s="8" t="s">
        <v>219</v>
      </c>
      <c r="E241" s="16" t="s">
        <v>74</v>
      </c>
      <c r="F241" s="16" t="s">
        <v>89</v>
      </c>
      <c r="G241" s="8" t="s">
        <v>220</v>
      </c>
      <c r="H241" s="8" t="s">
        <v>221</v>
      </c>
      <c r="I241" s="16" t="s">
        <v>138</v>
      </c>
      <c r="J241" s="16">
        <v>15.912502690672</v>
      </c>
      <c r="K241" s="16">
        <v>-96.211559040333</v>
      </c>
      <c r="L241" s="16" t="str">
        <f>HYPERLINK("https://maps.google.com/?q=15.912502690672,-96.211559040333", "🔗 Ver Mapa")</f>
        <v>🔗 Ver Mapa</v>
      </c>
    </row>
    <row r="242" spans="1:12" ht="43.5" x14ac:dyDescent="0.35">
      <c r="A242" s="6" t="s">
        <v>7</v>
      </c>
      <c r="B242" s="6" t="s">
        <v>20</v>
      </c>
      <c r="C242" s="6" t="s">
        <v>218</v>
      </c>
      <c r="D242" s="11" t="s">
        <v>219</v>
      </c>
      <c r="E242" s="17" t="s">
        <v>74</v>
      </c>
      <c r="F242" s="17" t="s">
        <v>89</v>
      </c>
      <c r="G242" s="11" t="s">
        <v>220</v>
      </c>
      <c r="H242" s="11" t="s">
        <v>221</v>
      </c>
      <c r="I242" s="17" t="s">
        <v>138</v>
      </c>
      <c r="J242" s="17">
        <v>15.912605258932</v>
      </c>
      <c r="K242" s="17">
        <v>-96.211109640060002</v>
      </c>
      <c r="L242" s="17" t="str">
        <f>HYPERLINK("https://maps.google.com/?q=15.912605258932,-96.21110964006", "🔗 Ver Mapa")</f>
        <v>🔗 Ver Mapa</v>
      </c>
    </row>
    <row r="243" spans="1:12" ht="43.5" x14ac:dyDescent="0.35">
      <c r="A243" s="5" t="s">
        <v>7</v>
      </c>
      <c r="B243" s="5" t="s">
        <v>20</v>
      </c>
      <c r="C243" s="5" t="s">
        <v>218</v>
      </c>
      <c r="D243" s="8" t="s">
        <v>219</v>
      </c>
      <c r="E243" s="16" t="s">
        <v>74</v>
      </c>
      <c r="F243" s="16" t="s">
        <v>89</v>
      </c>
      <c r="G243" s="8" t="s">
        <v>220</v>
      </c>
      <c r="H243" s="8" t="s">
        <v>221</v>
      </c>
      <c r="I243" s="16" t="s">
        <v>138</v>
      </c>
      <c r="J243" s="16">
        <v>15.912867737919999</v>
      </c>
      <c r="K243" s="16">
        <v>-96.211852659672005</v>
      </c>
      <c r="L243" s="16" t="str">
        <f>HYPERLINK("https://maps.google.com/?q=15.91286773792,-96.211852659672", "🔗 Ver Mapa")</f>
        <v>🔗 Ver Mapa</v>
      </c>
    </row>
    <row r="244" spans="1:12" ht="43.5" x14ac:dyDescent="0.35">
      <c r="A244" s="6" t="s">
        <v>7</v>
      </c>
      <c r="B244" s="6" t="s">
        <v>20</v>
      </c>
      <c r="C244" s="6" t="s">
        <v>218</v>
      </c>
      <c r="D244" s="11" t="s">
        <v>219</v>
      </c>
      <c r="E244" s="17" t="s">
        <v>74</v>
      </c>
      <c r="F244" s="17" t="s">
        <v>89</v>
      </c>
      <c r="G244" s="11" t="s">
        <v>220</v>
      </c>
      <c r="H244" s="11" t="s">
        <v>221</v>
      </c>
      <c r="I244" s="17" t="s">
        <v>138</v>
      </c>
      <c r="J244" s="17">
        <v>15.912898294490001</v>
      </c>
      <c r="K244" s="17">
        <v>-96.210722941317997</v>
      </c>
      <c r="L244" s="17" t="str">
        <f>HYPERLINK("https://maps.google.com/?q=15.91289829449,-96.210722941318", "🔗 Ver Mapa")</f>
        <v>🔗 Ver Mapa</v>
      </c>
    </row>
    <row r="245" spans="1:12" ht="58" x14ac:dyDescent="0.35">
      <c r="A245" s="5" t="s">
        <v>7</v>
      </c>
      <c r="B245" s="5" t="s">
        <v>20</v>
      </c>
      <c r="C245" s="5" t="s">
        <v>222</v>
      </c>
      <c r="D245" s="8" t="s">
        <v>67</v>
      </c>
      <c r="E245" s="16" t="s">
        <v>78</v>
      </c>
      <c r="F245" s="16" t="s">
        <v>182</v>
      </c>
      <c r="G245" s="8" t="s">
        <v>223</v>
      </c>
      <c r="H245" s="8" t="s">
        <v>224</v>
      </c>
      <c r="I245" s="16" t="s">
        <v>138</v>
      </c>
      <c r="J245" s="16">
        <v>17.337040999999999</v>
      </c>
      <c r="K245" s="16">
        <v>-96.113856999999996</v>
      </c>
      <c r="L245" s="16" t="str">
        <f>HYPERLINK("https://maps.google.com/?q=17.337041,-96.113857", "🔗 Ver Mapa")</f>
        <v>🔗 Ver Mapa</v>
      </c>
    </row>
    <row r="246" spans="1:12" ht="58" x14ac:dyDescent="0.35">
      <c r="A246" s="6" t="s">
        <v>7</v>
      </c>
      <c r="B246" s="6" t="s">
        <v>20</v>
      </c>
      <c r="C246" s="6" t="s">
        <v>222</v>
      </c>
      <c r="D246" s="11" t="s">
        <v>67</v>
      </c>
      <c r="E246" s="17" t="s">
        <v>78</v>
      </c>
      <c r="F246" s="17" t="s">
        <v>182</v>
      </c>
      <c r="G246" s="11" t="s">
        <v>223</v>
      </c>
      <c r="H246" s="11" t="s">
        <v>224</v>
      </c>
      <c r="I246" s="17" t="s">
        <v>138</v>
      </c>
      <c r="J246" s="17">
        <v>17.33738</v>
      </c>
      <c r="K246" s="17">
        <v>-96.114800000000002</v>
      </c>
      <c r="L246" s="17" t="str">
        <f>HYPERLINK("https://maps.google.com/?q=17.33738,-96.1148", "🔗 Ver Mapa")</f>
        <v>🔗 Ver Mapa</v>
      </c>
    </row>
    <row r="247" spans="1:12" ht="58" x14ac:dyDescent="0.35">
      <c r="A247" s="5" t="s">
        <v>7</v>
      </c>
      <c r="B247" s="5" t="s">
        <v>20</v>
      </c>
      <c r="C247" s="5" t="s">
        <v>222</v>
      </c>
      <c r="D247" s="8" t="s">
        <v>67</v>
      </c>
      <c r="E247" s="16" t="s">
        <v>78</v>
      </c>
      <c r="F247" s="16" t="s">
        <v>182</v>
      </c>
      <c r="G247" s="8" t="s">
        <v>223</v>
      </c>
      <c r="H247" s="8" t="s">
        <v>224</v>
      </c>
      <c r="I247" s="16" t="s">
        <v>138</v>
      </c>
      <c r="J247" s="16">
        <v>17.338123</v>
      </c>
      <c r="K247" s="16">
        <v>-96.114984000000007</v>
      </c>
      <c r="L247" s="16" t="str">
        <f>HYPERLINK("https://maps.google.com/?q=17.338123,-96.114984", "🔗 Ver Mapa")</f>
        <v>🔗 Ver Mapa</v>
      </c>
    </row>
    <row r="248" spans="1:12" ht="72.5" x14ac:dyDescent="0.35">
      <c r="A248" s="6" t="s">
        <v>225</v>
      </c>
      <c r="B248" s="6" t="s">
        <v>226</v>
      </c>
      <c r="C248" s="6" t="s">
        <v>227</v>
      </c>
      <c r="D248" s="11" t="s">
        <v>69</v>
      </c>
      <c r="E248" s="17" t="s">
        <v>74</v>
      </c>
      <c r="F248" s="17" t="s">
        <v>82</v>
      </c>
      <c r="G248" s="11" t="s">
        <v>96</v>
      </c>
      <c r="H248" s="11" t="s">
        <v>228</v>
      </c>
      <c r="I248" s="17" t="s">
        <v>138</v>
      </c>
      <c r="J248" s="17">
        <v>16.273385000000001</v>
      </c>
      <c r="K248" s="17">
        <v>-98.351491999999993</v>
      </c>
      <c r="L248" s="17" t="str">
        <f>HYPERLINK("https://maps.google.com/?q=16.273385,-98.351492", "🔗 Ver Mapa")</f>
        <v>🔗 Ver Mapa</v>
      </c>
    </row>
    <row r="249" spans="1:12" ht="72.5" x14ac:dyDescent="0.35">
      <c r="A249" s="5" t="s">
        <v>225</v>
      </c>
      <c r="B249" s="5" t="s">
        <v>226</v>
      </c>
      <c r="C249" s="5" t="s">
        <v>227</v>
      </c>
      <c r="D249" s="8" t="s">
        <v>69</v>
      </c>
      <c r="E249" s="16" t="s">
        <v>74</v>
      </c>
      <c r="F249" s="16" t="s">
        <v>82</v>
      </c>
      <c r="G249" s="8" t="s">
        <v>96</v>
      </c>
      <c r="H249" s="8" t="s">
        <v>228</v>
      </c>
      <c r="I249" s="16" t="s">
        <v>138</v>
      </c>
      <c r="J249" s="16">
        <v>16.279995</v>
      </c>
      <c r="K249" s="16">
        <v>-98.352984000000006</v>
      </c>
      <c r="L249" s="16" t="str">
        <f>HYPERLINK("https://maps.google.com/?q=16.279995,-98.352984", "🔗 Ver Mapa")</f>
        <v>🔗 Ver Mapa</v>
      </c>
    </row>
    <row r="250" spans="1:12" ht="72.5" x14ac:dyDescent="0.35">
      <c r="A250" s="6" t="s">
        <v>225</v>
      </c>
      <c r="B250" s="6" t="s">
        <v>226</v>
      </c>
      <c r="C250" s="6" t="s">
        <v>227</v>
      </c>
      <c r="D250" s="11" t="s">
        <v>69</v>
      </c>
      <c r="E250" s="17" t="s">
        <v>74</v>
      </c>
      <c r="F250" s="17" t="s">
        <v>82</v>
      </c>
      <c r="G250" s="11" t="s">
        <v>96</v>
      </c>
      <c r="H250" s="11" t="s">
        <v>228</v>
      </c>
      <c r="I250" s="17" t="s">
        <v>138</v>
      </c>
      <c r="J250" s="17">
        <v>16.286487000000001</v>
      </c>
      <c r="K250" s="17">
        <v>-98.354637999999994</v>
      </c>
      <c r="L250" s="17" t="str">
        <f>HYPERLINK("https://maps.google.com/?q=16.286487,-98.354638", "🔗 Ver Mapa")</f>
        <v>🔗 Ver Mapa</v>
      </c>
    </row>
    <row r="251" spans="1:12" ht="58" x14ac:dyDescent="0.35">
      <c r="A251" s="5" t="s">
        <v>1</v>
      </c>
      <c r="B251" s="5" t="s">
        <v>14</v>
      </c>
      <c r="C251" s="5" t="s">
        <v>229</v>
      </c>
      <c r="D251" s="8" t="s">
        <v>61</v>
      </c>
      <c r="E251" s="16" t="s">
        <v>74</v>
      </c>
      <c r="F251" s="16" t="s">
        <v>82</v>
      </c>
      <c r="G251" s="8" t="s">
        <v>230</v>
      </c>
      <c r="H251" s="8" t="s">
        <v>231</v>
      </c>
      <c r="I251" s="16" t="s">
        <v>138</v>
      </c>
      <c r="J251" s="16">
        <v>16.279813238911</v>
      </c>
      <c r="K251" s="16">
        <v>-97.830113845924004</v>
      </c>
      <c r="L251" s="16" t="str">
        <f>HYPERLINK("https://maps.google.com/?q=16.279813238911,-97.830113845924", "🔗 Ver Mapa")</f>
        <v>🔗 Ver Mapa</v>
      </c>
    </row>
    <row r="252" spans="1:12" ht="29" x14ac:dyDescent="0.35">
      <c r="A252" s="6" t="s">
        <v>12</v>
      </c>
      <c r="B252" s="6" t="s">
        <v>232</v>
      </c>
      <c r="C252" s="6" t="s">
        <v>233</v>
      </c>
      <c r="D252" s="11" t="s">
        <v>62</v>
      </c>
      <c r="E252" s="17" t="s">
        <v>76</v>
      </c>
      <c r="F252" s="17" t="s">
        <v>85</v>
      </c>
      <c r="G252" s="11" t="s">
        <v>102</v>
      </c>
      <c r="H252" s="11" t="s">
        <v>124</v>
      </c>
      <c r="I252" s="17" t="s">
        <v>138</v>
      </c>
      <c r="J252" s="17">
        <v>15.746143999999999</v>
      </c>
      <c r="K252" s="17">
        <v>-96.465182999999996</v>
      </c>
      <c r="L252" s="17" t="str">
        <f>HYPERLINK("https://maps.google.com/?q=15.746144,-96.465183", "🔗 Ver Mapa")</f>
        <v>🔗 Ver Mapa</v>
      </c>
    </row>
    <row r="253" spans="1:12" ht="29" x14ac:dyDescent="0.35">
      <c r="A253" s="5" t="s">
        <v>12</v>
      </c>
      <c r="B253" s="5" t="s">
        <v>232</v>
      </c>
      <c r="C253" s="5" t="s">
        <v>233</v>
      </c>
      <c r="D253" s="8" t="s">
        <v>62</v>
      </c>
      <c r="E253" s="16" t="s">
        <v>76</v>
      </c>
      <c r="F253" s="16" t="s">
        <v>85</v>
      </c>
      <c r="G253" s="8" t="s">
        <v>102</v>
      </c>
      <c r="H253" s="8" t="s">
        <v>124</v>
      </c>
      <c r="I253" s="16" t="s">
        <v>138</v>
      </c>
      <c r="J253" s="16">
        <v>16.237075999999998</v>
      </c>
      <c r="K253" s="16">
        <v>-97.292351999999994</v>
      </c>
      <c r="L253" s="16" t="str">
        <f>HYPERLINK("https://maps.google.com/?q=16.237076,-97.292352", "🔗 Ver Mapa")</f>
        <v>🔗 Ver Mapa</v>
      </c>
    </row>
    <row r="254" spans="1:12" ht="29" x14ac:dyDescent="0.35">
      <c r="A254" s="6" t="s">
        <v>12</v>
      </c>
      <c r="B254" s="6" t="s">
        <v>232</v>
      </c>
      <c r="C254" s="6" t="s">
        <v>233</v>
      </c>
      <c r="D254" s="11" t="s">
        <v>62</v>
      </c>
      <c r="E254" s="17" t="s">
        <v>76</v>
      </c>
      <c r="F254" s="17" t="s">
        <v>85</v>
      </c>
      <c r="G254" s="11" t="s">
        <v>102</v>
      </c>
      <c r="H254" s="11" t="s">
        <v>124</v>
      </c>
      <c r="I254" s="17" t="s">
        <v>138</v>
      </c>
      <c r="J254" s="17">
        <v>16.279057999999999</v>
      </c>
      <c r="K254" s="17">
        <v>-97.820240999999996</v>
      </c>
      <c r="L254" s="17" t="str">
        <f>HYPERLINK("https://maps.google.com/?q=16.279058,-97.820241", "🔗 Ver Mapa")</f>
        <v>🔗 Ver Mapa</v>
      </c>
    </row>
    <row r="255" spans="1:12" ht="29" x14ac:dyDescent="0.35">
      <c r="A255" s="5" t="s">
        <v>12</v>
      </c>
      <c r="B255" s="5" t="s">
        <v>232</v>
      </c>
      <c r="C255" s="5" t="s">
        <v>233</v>
      </c>
      <c r="D255" s="8" t="s">
        <v>62</v>
      </c>
      <c r="E255" s="16" t="s">
        <v>76</v>
      </c>
      <c r="F255" s="16" t="s">
        <v>85</v>
      </c>
      <c r="G255" s="8" t="s">
        <v>102</v>
      </c>
      <c r="H255" s="8" t="s">
        <v>124</v>
      </c>
      <c r="I255" s="16" t="s">
        <v>138</v>
      </c>
      <c r="J255" s="16">
        <v>16.328751</v>
      </c>
      <c r="K255" s="16">
        <v>-96.596529000000004</v>
      </c>
      <c r="L255" s="16" t="str">
        <f>HYPERLINK("https://maps.google.com/?q=16.328751,-96.596529", "🔗 Ver Mapa")</f>
        <v>🔗 Ver Mapa</v>
      </c>
    </row>
    <row r="256" spans="1:12" ht="29" x14ac:dyDescent="0.35">
      <c r="A256" s="6" t="s">
        <v>12</v>
      </c>
      <c r="B256" s="6" t="s">
        <v>232</v>
      </c>
      <c r="C256" s="6" t="s">
        <v>233</v>
      </c>
      <c r="D256" s="11" t="s">
        <v>62</v>
      </c>
      <c r="E256" s="17" t="s">
        <v>76</v>
      </c>
      <c r="F256" s="17" t="s">
        <v>85</v>
      </c>
      <c r="G256" s="11" t="s">
        <v>102</v>
      </c>
      <c r="H256" s="11" t="s">
        <v>124</v>
      </c>
      <c r="I256" s="17" t="s">
        <v>138</v>
      </c>
      <c r="J256" s="17">
        <v>16.332014000000001</v>
      </c>
      <c r="K256" s="17">
        <v>-95.231966</v>
      </c>
      <c r="L256" s="17" t="str">
        <f>HYPERLINK("https://maps.google.com/?q=16.332014,-95.231966", "🔗 Ver Mapa")</f>
        <v>🔗 Ver Mapa</v>
      </c>
    </row>
    <row r="257" spans="1:12" ht="29" x14ac:dyDescent="0.35">
      <c r="A257" s="5" t="s">
        <v>12</v>
      </c>
      <c r="B257" s="5" t="s">
        <v>232</v>
      </c>
      <c r="C257" s="5" t="s">
        <v>233</v>
      </c>
      <c r="D257" s="8" t="s">
        <v>62</v>
      </c>
      <c r="E257" s="16" t="s">
        <v>76</v>
      </c>
      <c r="F257" s="16" t="s">
        <v>85</v>
      </c>
      <c r="G257" s="8" t="s">
        <v>102</v>
      </c>
      <c r="H257" s="8" t="s">
        <v>124</v>
      </c>
      <c r="I257" s="16" t="s">
        <v>138</v>
      </c>
      <c r="J257" s="16">
        <v>16.433347000000001</v>
      </c>
      <c r="K257" s="16">
        <v>-95.021687</v>
      </c>
      <c r="L257" s="16" t="str">
        <f>HYPERLINK("https://maps.google.com/?q=16.433347,-95.021687", "🔗 Ver Mapa")</f>
        <v>🔗 Ver Mapa</v>
      </c>
    </row>
    <row r="258" spans="1:12" ht="29" x14ac:dyDescent="0.35">
      <c r="A258" s="6" t="s">
        <v>12</v>
      </c>
      <c r="B258" s="6" t="s">
        <v>232</v>
      </c>
      <c r="C258" s="6" t="s">
        <v>233</v>
      </c>
      <c r="D258" s="11" t="s">
        <v>62</v>
      </c>
      <c r="E258" s="17" t="s">
        <v>76</v>
      </c>
      <c r="F258" s="17" t="s">
        <v>85</v>
      </c>
      <c r="G258" s="11" t="s">
        <v>102</v>
      </c>
      <c r="H258" s="11" t="s">
        <v>124</v>
      </c>
      <c r="I258" s="17" t="s">
        <v>138</v>
      </c>
      <c r="J258" s="17">
        <v>16.500512000000001</v>
      </c>
      <c r="K258" s="17">
        <v>-96.106790000000004</v>
      </c>
      <c r="L258" s="17" t="str">
        <f>HYPERLINK("https://maps.google.com/?q=16.500512,-96.10679", "🔗 Ver Mapa")</f>
        <v>🔗 Ver Mapa</v>
      </c>
    </row>
    <row r="259" spans="1:12" ht="29" x14ac:dyDescent="0.35">
      <c r="A259" s="5" t="s">
        <v>12</v>
      </c>
      <c r="B259" s="5" t="s">
        <v>232</v>
      </c>
      <c r="C259" s="5" t="s">
        <v>233</v>
      </c>
      <c r="D259" s="8" t="s">
        <v>62</v>
      </c>
      <c r="E259" s="16" t="s">
        <v>76</v>
      </c>
      <c r="F259" s="16" t="s">
        <v>85</v>
      </c>
      <c r="G259" s="8" t="s">
        <v>102</v>
      </c>
      <c r="H259" s="8" t="s">
        <v>124</v>
      </c>
      <c r="I259" s="16" t="s">
        <v>138</v>
      </c>
      <c r="J259" s="16">
        <v>16.519807</v>
      </c>
      <c r="K259" s="16">
        <v>-96.983885000000001</v>
      </c>
      <c r="L259" s="16" t="str">
        <f>HYPERLINK("https://maps.google.com/?q=16.519807,-96.983885", "🔗 Ver Mapa")</f>
        <v>🔗 Ver Mapa</v>
      </c>
    </row>
    <row r="260" spans="1:12" ht="29" x14ac:dyDescent="0.35">
      <c r="A260" s="6" t="s">
        <v>12</v>
      </c>
      <c r="B260" s="6" t="s">
        <v>232</v>
      </c>
      <c r="C260" s="6" t="s">
        <v>233</v>
      </c>
      <c r="D260" s="11" t="s">
        <v>62</v>
      </c>
      <c r="E260" s="17" t="s">
        <v>76</v>
      </c>
      <c r="F260" s="17" t="s">
        <v>85</v>
      </c>
      <c r="G260" s="11" t="s">
        <v>102</v>
      </c>
      <c r="H260" s="11" t="s">
        <v>124</v>
      </c>
      <c r="I260" s="17" t="s">
        <v>138</v>
      </c>
      <c r="J260" s="17">
        <v>16.564243999999999</v>
      </c>
      <c r="K260" s="17">
        <v>-96.731829000000005</v>
      </c>
      <c r="L260" s="17" t="str">
        <f>HYPERLINK("https://maps.google.com/?q=16.564244,-96.731829", "🔗 Ver Mapa")</f>
        <v>🔗 Ver Mapa</v>
      </c>
    </row>
    <row r="261" spans="1:12" ht="29" x14ac:dyDescent="0.35">
      <c r="A261" s="5" t="s">
        <v>12</v>
      </c>
      <c r="B261" s="5" t="s">
        <v>232</v>
      </c>
      <c r="C261" s="5" t="s">
        <v>233</v>
      </c>
      <c r="D261" s="8" t="s">
        <v>62</v>
      </c>
      <c r="E261" s="16" t="s">
        <v>76</v>
      </c>
      <c r="F261" s="16" t="s">
        <v>85</v>
      </c>
      <c r="G261" s="8" t="s">
        <v>102</v>
      </c>
      <c r="H261" s="8" t="s">
        <v>124</v>
      </c>
      <c r="I261" s="16" t="s">
        <v>138</v>
      </c>
      <c r="J261" s="16">
        <v>16.791625</v>
      </c>
      <c r="K261" s="16">
        <v>-96.674999</v>
      </c>
      <c r="L261" s="16" t="str">
        <f>HYPERLINK("https://maps.google.com/?q=16.791625,-96.674999", "🔗 Ver Mapa")</f>
        <v>🔗 Ver Mapa</v>
      </c>
    </row>
    <row r="262" spans="1:12" ht="29" x14ac:dyDescent="0.35">
      <c r="A262" s="6" t="s">
        <v>12</v>
      </c>
      <c r="B262" s="6" t="s">
        <v>232</v>
      </c>
      <c r="C262" s="6" t="s">
        <v>233</v>
      </c>
      <c r="D262" s="11" t="s">
        <v>62</v>
      </c>
      <c r="E262" s="17" t="s">
        <v>76</v>
      </c>
      <c r="F262" s="17" t="s">
        <v>85</v>
      </c>
      <c r="G262" s="11" t="s">
        <v>102</v>
      </c>
      <c r="H262" s="11" t="s">
        <v>124</v>
      </c>
      <c r="I262" s="17" t="s">
        <v>138</v>
      </c>
      <c r="J262" s="17">
        <v>16.866371000000001</v>
      </c>
      <c r="K262" s="17">
        <v>-96.785623000000001</v>
      </c>
      <c r="L262" s="17" t="str">
        <f>HYPERLINK("https://maps.google.com/?q=16.866371,-96.785623", "🔗 Ver Mapa")</f>
        <v>🔗 Ver Mapa</v>
      </c>
    </row>
    <row r="263" spans="1:12" ht="29" x14ac:dyDescent="0.35">
      <c r="A263" s="5" t="s">
        <v>12</v>
      </c>
      <c r="B263" s="5" t="s">
        <v>232</v>
      </c>
      <c r="C263" s="5" t="s">
        <v>233</v>
      </c>
      <c r="D263" s="8" t="s">
        <v>62</v>
      </c>
      <c r="E263" s="16" t="s">
        <v>76</v>
      </c>
      <c r="F263" s="16" t="s">
        <v>85</v>
      </c>
      <c r="G263" s="8" t="s">
        <v>102</v>
      </c>
      <c r="H263" s="8" t="s">
        <v>124</v>
      </c>
      <c r="I263" s="16" t="s">
        <v>138</v>
      </c>
      <c r="J263" s="16">
        <v>16.950706</v>
      </c>
      <c r="K263" s="16">
        <v>-96.750504000000006</v>
      </c>
      <c r="L263" s="16" t="str">
        <f>HYPERLINK("https://maps.google.com/?q=16.950706,-96.750504", "🔗 Ver Mapa")</f>
        <v>🔗 Ver Mapa</v>
      </c>
    </row>
    <row r="264" spans="1:12" ht="29" x14ac:dyDescent="0.35">
      <c r="A264" s="6" t="s">
        <v>12</v>
      </c>
      <c r="B264" s="6" t="s">
        <v>232</v>
      </c>
      <c r="C264" s="6" t="s">
        <v>233</v>
      </c>
      <c r="D264" s="11" t="s">
        <v>62</v>
      </c>
      <c r="E264" s="17" t="s">
        <v>76</v>
      </c>
      <c r="F264" s="17" t="s">
        <v>85</v>
      </c>
      <c r="G264" s="11" t="s">
        <v>102</v>
      </c>
      <c r="H264" s="11" t="s">
        <v>124</v>
      </c>
      <c r="I264" s="17" t="s">
        <v>138</v>
      </c>
      <c r="J264" s="17">
        <v>16.955580000000001</v>
      </c>
      <c r="K264" s="17">
        <v>-96.479206000000005</v>
      </c>
      <c r="L264" s="17" t="str">
        <f>HYPERLINK("https://maps.google.com/?q=16.95558,-96.479206", "🔗 Ver Mapa")</f>
        <v>🔗 Ver Mapa</v>
      </c>
    </row>
    <row r="265" spans="1:12" ht="29" x14ac:dyDescent="0.35">
      <c r="A265" s="5" t="s">
        <v>12</v>
      </c>
      <c r="B265" s="5" t="s">
        <v>232</v>
      </c>
      <c r="C265" s="5" t="s">
        <v>233</v>
      </c>
      <c r="D265" s="8" t="s">
        <v>62</v>
      </c>
      <c r="E265" s="16" t="s">
        <v>76</v>
      </c>
      <c r="F265" s="16" t="s">
        <v>85</v>
      </c>
      <c r="G265" s="8" t="s">
        <v>102</v>
      </c>
      <c r="H265" s="8" t="s">
        <v>124</v>
      </c>
      <c r="I265" s="16" t="s">
        <v>138</v>
      </c>
      <c r="J265" s="16">
        <v>17.026216000000002</v>
      </c>
      <c r="K265" s="16">
        <v>-97.928115000000005</v>
      </c>
      <c r="L265" s="16" t="str">
        <f>HYPERLINK("https://maps.google.com/?q=17.026216,-97.928115", "🔗 Ver Mapa")</f>
        <v>🔗 Ver Mapa</v>
      </c>
    </row>
    <row r="266" spans="1:12" ht="29" x14ac:dyDescent="0.35">
      <c r="A266" s="6" t="s">
        <v>12</v>
      </c>
      <c r="B266" s="6" t="s">
        <v>232</v>
      </c>
      <c r="C266" s="6" t="s">
        <v>233</v>
      </c>
      <c r="D266" s="11" t="s">
        <v>62</v>
      </c>
      <c r="E266" s="17" t="s">
        <v>76</v>
      </c>
      <c r="F266" s="17" t="s">
        <v>85</v>
      </c>
      <c r="G266" s="11" t="s">
        <v>102</v>
      </c>
      <c r="H266" s="11" t="s">
        <v>124</v>
      </c>
      <c r="I266" s="17" t="s">
        <v>138</v>
      </c>
      <c r="J266" s="17">
        <v>17.027131000000001</v>
      </c>
      <c r="K266" s="17">
        <v>-96.077044000000001</v>
      </c>
      <c r="L266" s="17" t="str">
        <f>HYPERLINK("https://maps.google.com/?q=17.027131,-96.077044", "🔗 Ver Mapa")</f>
        <v>🔗 Ver Mapa</v>
      </c>
    </row>
    <row r="267" spans="1:12" ht="29" x14ac:dyDescent="0.35">
      <c r="A267" s="5" t="s">
        <v>12</v>
      </c>
      <c r="B267" s="5" t="s">
        <v>232</v>
      </c>
      <c r="C267" s="5" t="s">
        <v>233</v>
      </c>
      <c r="D267" s="8" t="s">
        <v>62</v>
      </c>
      <c r="E267" s="16" t="s">
        <v>76</v>
      </c>
      <c r="F267" s="16" t="s">
        <v>85</v>
      </c>
      <c r="G267" s="8" t="s">
        <v>102</v>
      </c>
      <c r="H267" s="8" t="s">
        <v>124</v>
      </c>
      <c r="I267" s="16" t="s">
        <v>138</v>
      </c>
      <c r="J267" s="16">
        <v>17.063777999999999</v>
      </c>
      <c r="K267" s="16">
        <v>-96.729971000000006</v>
      </c>
      <c r="L267" s="16" t="str">
        <f>HYPERLINK("https://maps.google.com/?q=17.063778,-96.729971", "🔗 Ver Mapa")</f>
        <v>🔗 Ver Mapa</v>
      </c>
    </row>
    <row r="268" spans="1:12" ht="29" x14ac:dyDescent="0.35">
      <c r="A268" s="6" t="s">
        <v>12</v>
      </c>
      <c r="B268" s="6" t="s">
        <v>232</v>
      </c>
      <c r="C268" s="6" t="s">
        <v>233</v>
      </c>
      <c r="D268" s="11" t="s">
        <v>62</v>
      </c>
      <c r="E268" s="17" t="s">
        <v>76</v>
      </c>
      <c r="F268" s="17" t="s">
        <v>85</v>
      </c>
      <c r="G268" s="11" t="s">
        <v>102</v>
      </c>
      <c r="H268" s="11" t="s">
        <v>124</v>
      </c>
      <c r="I268" s="17" t="s">
        <v>138</v>
      </c>
      <c r="J268" s="17">
        <v>17.207464000000002</v>
      </c>
      <c r="K268" s="17">
        <v>-96.801094000000006</v>
      </c>
      <c r="L268" s="17" t="str">
        <f>HYPERLINK("https://maps.google.com/?q=17.207464,-96.801094", "🔗 Ver Mapa")</f>
        <v>🔗 Ver Mapa</v>
      </c>
    </row>
    <row r="269" spans="1:12" ht="29" x14ac:dyDescent="0.35">
      <c r="A269" s="5" t="s">
        <v>12</v>
      </c>
      <c r="B269" s="5" t="s">
        <v>232</v>
      </c>
      <c r="C269" s="5" t="s">
        <v>233</v>
      </c>
      <c r="D269" s="8" t="s">
        <v>62</v>
      </c>
      <c r="E269" s="16" t="s">
        <v>76</v>
      </c>
      <c r="F269" s="16" t="s">
        <v>85</v>
      </c>
      <c r="G269" s="8" t="s">
        <v>102</v>
      </c>
      <c r="H269" s="8" t="s">
        <v>124</v>
      </c>
      <c r="I269" s="16" t="s">
        <v>138</v>
      </c>
      <c r="J269" s="16">
        <v>17.267448999999999</v>
      </c>
      <c r="K269" s="16">
        <v>-97.680485000000004</v>
      </c>
      <c r="L269" s="16" t="str">
        <f>HYPERLINK("https://maps.google.com/?q=17.267449,-97.680485", "🔗 Ver Mapa")</f>
        <v>🔗 Ver Mapa</v>
      </c>
    </row>
    <row r="270" spans="1:12" ht="29" x14ac:dyDescent="0.35">
      <c r="A270" s="6" t="s">
        <v>12</v>
      </c>
      <c r="B270" s="6" t="s">
        <v>232</v>
      </c>
      <c r="C270" s="6" t="s">
        <v>233</v>
      </c>
      <c r="D270" s="11" t="s">
        <v>62</v>
      </c>
      <c r="E270" s="17" t="s">
        <v>76</v>
      </c>
      <c r="F270" s="17" t="s">
        <v>85</v>
      </c>
      <c r="G270" s="11" t="s">
        <v>102</v>
      </c>
      <c r="H270" s="11" t="s">
        <v>124</v>
      </c>
      <c r="I270" s="17" t="s">
        <v>138</v>
      </c>
      <c r="J270" s="17">
        <v>17.331247999999999</v>
      </c>
      <c r="K270" s="17">
        <v>-96.487900999999994</v>
      </c>
      <c r="L270" s="17" t="str">
        <f>HYPERLINK("https://maps.google.com/?q=17.331248,-96.487901", "🔗 Ver Mapa")</f>
        <v>🔗 Ver Mapa</v>
      </c>
    </row>
    <row r="271" spans="1:12" ht="29" x14ac:dyDescent="0.35">
      <c r="A271" s="5" t="s">
        <v>12</v>
      </c>
      <c r="B271" s="5" t="s">
        <v>232</v>
      </c>
      <c r="C271" s="5" t="s">
        <v>233</v>
      </c>
      <c r="D271" s="8" t="s">
        <v>62</v>
      </c>
      <c r="E271" s="16" t="s">
        <v>76</v>
      </c>
      <c r="F271" s="16" t="s">
        <v>85</v>
      </c>
      <c r="G271" s="8" t="s">
        <v>102</v>
      </c>
      <c r="H271" s="8" t="s">
        <v>124</v>
      </c>
      <c r="I271" s="16" t="s">
        <v>138</v>
      </c>
      <c r="J271" s="16">
        <v>17.335315999999999</v>
      </c>
      <c r="K271" s="16">
        <v>-98.012051</v>
      </c>
      <c r="L271" s="16" t="str">
        <f>HYPERLINK("https://maps.google.com/?q=17.335316,-98.012051", "🔗 Ver Mapa")</f>
        <v>🔗 Ver Mapa</v>
      </c>
    </row>
    <row r="272" spans="1:12" ht="29" x14ac:dyDescent="0.35">
      <c r="A272" s="6" t="s">
        <v>12</v>
      </c>
      <c r="B272" s="6" t="s">
        <v>232</v>
      </c>
      <c r="C272" s="6" t="s">
        <v>233</v>
      </c>
      <c r="D272" s="11" t="s">
        <v>62</v>
      </c>
      <c r="E272" s="17" t="s">
        <v>76</v>
      </c>
      <c r="F272" s="17" t="s">
        <v>85</v>
      </c>
      <c r="G272" s="11" t="s">
        <v>102</v>
      </c>
      <c r="H272" s="11" t="s">
        <v>124</v>
      </c>
      <c r="I272" s="17" t="s">
        <v>138</v>
      </c>
      <c r="J272" s="17">
        <v>17.338730000000002</v>
      </c>
      <c r="K272" s="17">
        <v>-96.152553999999995</v>
      </c>
      <c r="L272" s="17" t="str">
        <f>HYPERLINK("https://maps.google.com/?q=17.33873,-96.152554", "🔗 Ver Mapa")</f>
        <v>🔗 Ver Mapa</v>
      </c>
    </row>
    <row r="273" spans="1:12" ht="29" x14ac:dyDescent="0.35">
      <c r="A273" s="5" t="s">
        <v>12</v>
      </c>
      <c r="B273" s="5" t="s">
        <v>232</v>
      </c>
      <c r="C273" s="5" t="s">
        <v>233</v>
      </c>
      <c r="D273" s="8" t="s">
        <v>62</v>
      </c>
      <c r="E273" s="16" t="s">
        <v>76</v>
      </c>
      <c r="F273" s="16" t="s">
        <v>85</v>
      </c>
      <c r="G273" s="8" t="s">
        <v>102</v>
      </c>
      <c r="H273" s="8" t="s">
        <v>124</v>
      </c>
      <c r="I273" s="16" t="s">
        <v>138</v>
      </c>
      <c r="J273" s="16">
        <v>17.361765999999999</v>
      </c>
      <c r="K273" s="16">
        <v>-95.922253999999995</v>
      </c>
      <c r="L273" s="16" t="str">
        <f>HYPERLINK("https://maps.google.com/?q=17.361766,-95.922254", "🔗 Ver Mapa")</f>
        <v>🔗 Ver Mapa</v>
      </c>
    </row>
    <row r="274" spans="1:12" ht="29" x14ac:dyDescent="0.35">
      <c r="A274" s="6" t="s">
        <v>12</v>
      </c>
      <c r="B274" s="6" t="s">
        <v>232</v>
      </c>
      <c r="C274" s="6" t="s">
        <v>233</v>
      </c>
      <c r="D274" s="11" t="s">
        <v>62</v>
      </c>
      <c r="E274" s="17" t="s">
        <v>76</v>
      </c>
      <c r="F274" s="17" t="s">
        <v>85</v>
      </c>
      <c r="G274" s="11" t="s">
        <v>102</v>
      </c>
      <c r="H274" s="11" t="s">
        <v>124</v>
      </c>
      <c r="I274" s="17" t="s">
        <v>138</v>
      </c>
      <c r="J274" s="17">
        <v>17.458341000000001</v>
      </c>
      <c r="K274" s="17">
        <v>-97.225285</v>
      </c>
      <c r="L274" s="17" t="str">
        <f>HYPERLINK("https://maps.google.com/?q=17.458341,-97.225285", "🔗 Ver Mapa")</f>
        <v>🔗 Ver Mapa</v>
      </c>
    </row>
    <row r="275" spans="1:12" ht="29" x14ac:dyDescent="0.35">
      <c r="A275" s="5" t="s">
        <v>12</v>
      </c>
      <c r="B275" s="5" t="s">
        <v>232</v>
      </c>
      <c r="C275" s="5" t="s">
        <v>233</v>
      </c>
      <c r="D275" s="8" t="s">
        <v>62</v>
      </c>
      <c r="E275" s="16" t="s">
        <v>76</v>
      </c>
      <c r="F275" s="16" t="s">
        <v>85</v>
      </c>
      <c r="G275" s="8" t="s">
        <v>102</v>
      </c>
      <c r="H275" s="8" t="s">
        <v>124</v>
      </c>
      <c r="I275" s="16" t="s">
        <v>138</v>
      </c>
      <c r="J275" s="16">
        <v>17.501442000000001</v>
      </c>
      <c r="K275" s="16">
        <v>-98.142583999999999</v>
      </c>
      <c r="L275" s="16" t="str">
        <f>HYPERLINK("https://maps.google.com/?q=17.501442,-98.142584", "🔗 Ver Mapa")</f>
        <v>🔗 Ver Mapa</v>
      </c>
    </row>
    <row r="276" spans="1:12" ht="29" x14ac:dyDescent="0.35">
      <c r="A276" s="6" t="s">
        <v>12</v>
      </c>
      <c r="B276" s="6" t="s">
        <v>232</v>
      </c>
      <c r="C276" s="6" t="s">
        <v>233</v>
      </c>
      <c r="D276" s="11" t="s">
        <v>62</v>
      </c>
      <c r="E276" s="17" t="s">
        <v>76</v>
      </c>
      <c r="F276" s="17" t="s">
        <v>85</v>
      </c>
      <c r="G276" s="11" t="s">
        <v>102</v>
      </c>
      <c r="H276" s="11" t="s">
        <v>124</v>
      </c>
      <c r="I276" s="17" t="s">
        <v>138</v>
      </c>
      <c r="J276" s="17">
        <v>17.511838000000001</v>
      </c>
      <c r="K276" s="17">
        <v>-97.488547999999994</v>
      </c>
      <c r="L276" s="17" t="str">
        <f>HYPERLINK("https://maps.google.com/?q=17.511838,-97.488548", "🔗 Ver Mapa")</f>
        <v>🔗 Ver Mapa</v>
      </c>
    </row>
    <row r="277" spans="1:12" ht="29" x14ac:dyDescent="0.35">
      <c r="A277" s="5" t="s">
        <v>12</v>
      </c>
      <c r="B277" s="5" t="s">
        <v>232</v>
      </c>
      <c r="C277" s="5" t="s">
        <v>233</v>
      </c>
      <c r="D277" s="8" t="s">
        <v>62</v>
      </c>
      <c r="E277" s="16" t="s">
        <v>76</v>
      </c>
      <c r="F277" s="16" t="s">
        <v>85</v>
      </c>
      <c r="G277" s="8" t="s">
        <v>102</v>
      </c>
      <c r="H277" s="8" t="s">
        <v>124</v>
      </c>
      <c r="I277" s="16" t="s">
        <v>138</v>
      </c>
      <c r="J277" s="16">
        <v>17.724615</v>
      </c>
      <c r="K277" s="16">
        <v>-97.323898</v>
      </c>
      <c r="L277" s="16" t="str">
        <f>HYPERLINK("https://maps.google.com/?q=17.724615,-97.323898", "🔗 Ver Mapa")</f>
        <v>🔗 Ver Mapa</v>
      </c>
    </row>
    <row r="278" spans="1:12" ht="29" x14ac:dyDescent="0.35">
      <c r="A278" s="6" t="s">
        <v>12</v>
      </c>
      <c r="B278" s="6" t="s">
        <v>232</v>
      </c>
      <c r="C278" s="6" t="s">
        <v>233</v>
      </c>
      <c r="D278" s="11" t="s">
        <v>62</v>
      </c>
      <c r="E278" s="17" t="s">
        <v>76</v>
      </c>
      <c r="F278" s="17" t="s">
        <v>85</v>
      </c>
      <c r="G278" s="11" t="s">
        <v>102</v>
      </c>
      <c r="H278" s="11" t="s">
        <v>124</v>
      </c>
      <c r="I278" s="17" t="s">
        <v>138</v>
      </c>
      <c r="J278" s="17">
        <v>17.801687000000001</v>
      </c>
      <c r="K278" s="17">
        <v>-96.959688</v>
      </c>
      <c r="L278" s="17" t="str">
        <f>HYPERLINK("https://maps.google.com/?q=17.801687,-96.959688", "🔗 Ver Mapa")</f>
        <v>🔗 Ver Mapa</v>
      </c>
    </row>
    <row r="279" spans="1:12" ht="29" x14ac:dyDescent="0.35">
      <c r="A279" s="5" t="s">
        <v>12</v>
      </c>
      <c r="B279" s="5" t="s">
        <v>232</v>
      </c>
      <c r="C279" s="5" t="s">
        <v>233</v>
      </c>
      <c r="D279" s="8" t="s">
        <v>62</v>
      </c>
      <c r="E279" s="16" t="s">
        <v>76</v>
      </c>
      <c r="F279" s="16" t="s">
        <v>85</v>
      </c>
      <c r="G279" s="8" t="s">
        <v>102</v>
      </c>
      <c r="H279" s="8" t="s">
        <v>124</v>
      </c>
      <c r="I279" s="16" t="s">
        <v>138</v>
      </c>
      <c r="J279" s="16">
        <v>17.806621</v>
      </c>
      <c r="K279" s="16">
        <v>-97.776161999999999</v>
      </c>
      <c r="L279" s="16" t="str">
        <f>HYPERLINK("https://maps.google.com/?q=17.806621,-97.776162", "🔗 Ver Mapa")</f>
        <v>🔗 Ver Mapa</v>
      </c>
    </row>
    <row r="280" spans="1:12" ht="29" x14ac:dyDescent="0.35">
      <c r="A280" s="6" t="s">
        <v>12</v>
      </c>
      <c r="B280" s="6" t="s">
        <v>232</v>
      </c>
      <c r="C280" s="6" t="s">
        <v>233</v>
      </c>
      <c r="D280" s="11" t="s">
        <v>62</v>
      </c>
      <c r="E280" s="17" t="s">
        <v>76</v>
      </c>
      <c r="F280" s="17" t="s">
        <v>85</v>
      </c>
      <c r="G280" s="11" t="s">
        <v>102</v>
      </c>
      <c r="H280" s="11" t="s">
        <v>124</v>
      </c>
      <c r="I280" s="17" t="s">
        <v>138</v>
      </c>
      <c r="J280" s="17">
        <v>18.081168999999999</v>
      </c>
      <c r="K280" s="17">
        <v>-96.118475000000004</v>
      </c>
      <c r="L280" s="17" t="str">
        <f>HYPERLINK("https://maps.google.com/?q=18.081169,-96.118475", "🔗 Ver Mapa")</f>
        <v>🔗 Ver Mapa</v>
      </c>
    </row>
    <row r="281" spans="1:12" ht="29" x14ac:dyDescent="0.35">
      <c r="A281" s="5" t="s">
        <v>12</v>
      </c>
      <c r="B281" s="5" t="s">
        <v>232</v>
      </c>
      <c r="C281" s="5" t="s">
        <v>233</v>
      </c>
      <c r="D281" s="8" t="s">
        <v>62</v>
      </c>
      <c r="E281" s="16" t="s">
        <v>76</v>
      </c>
      <c r="F281" s="16" t="s">
        <v>85</v>
      </c>
      <c r="G281" s="8" t="s">
        <v>102</v>
      </c>
      <c r="H281" s="8" t="s">
        <v>124</v>
      </c>
      <c r="I281" s="16" t="s">
        <v>138</v>
      </c>
      <c r="J281" s="16">
        <v>18.13222</v>
      </c>
      <c r="K281" s="16">
        <v>-97.070751000000001</v>
      </c>
      <c r="L281" s="16" t="str">
        <f>HYPERLINK("https://maps.google.com/?q=18.13222,-97.070751", "🔗 Ver Mapa")</f>
        <v>🔗 Ver Mapa</v>
      </c>
    </row>
    <row r="282" spans="1:12" ht="58" x14ac:dyDescent="0.35">
      <c r="A282" s="6" t="s">
        <v>7</v>
      </c>
      <c r="B282" s="6" t="s">
        <v>20</v>
      </c>
      <c r="C282" s="6" t="s">
        <v>234</v>
      </c>
      <c r="D282" s="11" t="s">
        <v>235</v>
      </c>
      <c r="E282" s="17" t="s">
        <v>79</v>
      </c>
      <c r="F282" s="17" t="s">
        <v>195</v>
      </c>
      <c r="G282" s="11" t="s">
        <v>236</v>
      </c>
      <c r="H282" s="11" t="s">
        <v>237</v>
      </c>
      <c r="I282" s="17" t="s">
        <v>138</v>
      </c>
      <c r="J282" s="17">
        <v>16.298282</v>
      </c>
      <c r="K282" s="17">
        <v>-96.772418000000002</v>
      </c>
      <c r="L282" s="17" t="str">
        <f>HYPERLINK("https://maps.google.com/?q=16.298282,-96.772418", "🔗 Ver Mapa")</f>
        <v>🔗 Ver Mapa</v>
      </c>
    </row>
    <row r="283" spans="1:12" ht="29" x14ac:dyDescent="0.35">
      <c r="A283" s="5" t="s">
        <v>12</v>
      </c>
      <c r="B283" s="5" t="s">
        <v>232</v>
      </c>
      <c r="C283" s="5" t="s">
        <v>238</v>
      </c>
      <c r="D283" s="8" t="s">
        <v>62</v>
      </c>
      <c r="E283" s="16" t="s">
        <v>75</v>
      </c>
      <c r="F283" s="16" t="s">
        <v>86</v>
      </c>
      <c r="G283" s="8" t="s">
        <v>103</v>
      </c>
      <c r="H283" s="8" t="s">
        <v>125</v>
      </c>
      <c r="I283" s="16" t="s">
        <v>138</v>
      </c>
      <c r="J283" s="16">
        <v>17.063777999999999</v>
      </c>
      <c r="K283" s="16">
        <v>-96.729971000000006</v>
      </c>
      <c r="L283" s="16" t="str">
        <f>HYPERLINK("https://maps.google.com/?q=17.063778,-96.729971", "🔗 Ver Mapa")</f>
        <v>🔗 Ver Mapa</v>
      </c>
    </row>
    <row r="284" spans="1:12" ht="72.5" x14ac:dyDescent="0.35">
      <c r="A284" s="6" t="s">
        <v>225</v>
      </c>
      <c r="B284" s="6" t="s">
        <v>226</v>
      </c>
      <c r="C284" s="6" t="s">
        <v>239</v>
      </c>
      <c r="D284" s="11" t="s">
        <v>69</v>
      </c>
      <c r="E284" s="17" t="s">
        <v>164</v>
      </c>
      <c r="F284" s="17" t="s">
        <v>165</v>
      </c>
      <c r="G284" s="11" t="s">
        <v>240</v>
      </c>
      <c r="H284" s="11" t="s">
        <v>241</v>
      </c>
      <c r="I284" s="17" t="s">
        <v>138</v>
      </c>
      <c r="J284" s="17">
        <v>17.699055000000001</v>
      </c>
      <c r="K284" s="17">
        <v>-97.075906000000003</v>
      </c>
      <c r="L284" s="17" t="str">
        <f>HYPERLINK("https://maps.google.com/?q=17.699055,-97.075906", "🔗 Ver Mapa")</f>
        <v>🔗 Ver Mapa</v>
      </c>
    </row>
    <row r="285" spans="1:12" ht="72.5" x14ac:dyDescent="0.35">
      <c r="A285" s="5" t="s">
        <v>225</v>
      </c>
      <c r="B285" s="5" t="s">
        <v>226</v>
      </c>
      <c r="C285" s="5" t="s">
        <v>239</v>
      </c>
      <c r="D285" s="8" t="s">
        <v>69</v>
      </c>
      <c r="E285" s="16" t="s">
        <v>164</v>
      </c>
      <c r="F285" s="16" t="s">
        <v>165</v>
      </c>
      <c r="G285" s="8" t="s">
        <v>240</v>
      </c>
      <c r="H285" s="8" t="s">
        <v>241</v>
      </c>
      <c r="I285" s="16" t="s">
        <v>138</v>
      </c>
      <c r="J285" s="16">
        <v>17.70579</v>
      </c>
      <c r="K285" s="16">
        <v>-97.071781000000001</v>
      </c>
      <c r="L285" s="16" t="str">
        <f>HYPERLINK("https://maps.google.com/?q=17.70579,-97.071781", "🔗 Ver Mapa")</f>
        <v>🔗 Ver Mapa</v>
      </c>
    </row>
    <row r="286" spans="1:12" ht="72.5" x14ac:dyDescent="0.35">
      <c r="A286" s="6" t="s">
        <v>225</v>
      </c>
      <c r="B286" s="6" t="s">
        <v>226</v>
      </c>
      <c r="C286" s="6" t="s">
        <v>239</v>
      </c>
      <c r="D286" s="11" t="s">
        <v>69</v>
      </c>
      <c r="E286" s="17" t="s">
        <v>164</v>
      </c>
      <c r="F286" s="17" t="s">
        <v>165</v>
      </c>
      <c r="G286" s="11" t="s">
        <v>240</v>
      </c>
      <c r="H286" s="11" t="s">
        <v>241</v>
      </c>
      <c r="I286" s="17" t="s">
        <v>138</v>
      </c>
      <c r="J286" s="17">
        <v>17.712102000000002</v>
      </c>
      <c r="K286" s="17">
        <v>-97.068346000000005</v>
      </c>
      <c r="L286" s="17" t="str">
        <f>HYPERLINK("https://maps.google.com/?q=17.712102,-97.068346", "🔗 Ver Mapa")</f>
        <v>🔗 Ver Mapa</v>
      </c>
    </row>
    <row r="287" spans="1:12" ht="72.5" x14ac:dyDescent="0.35">
      <c r="A287" s="5" t="s">
        <v>225</v>
      </c>
      <c r="B287" s="5" t="s">
        <v>226</v>
      </c>
      <c r="C287" s="5" t="s">
        <v>242</v>
      </c>
      <c r="D287" s="8" t="s">
        <v>69</v>
      </c>
      <c r="E287" s="16" t="s">
        <v>164</v>
      </c>
      <c r="F287" s="16" t="s">
        <v>165</v>
      </c>
      <c r="G287" s="8" t="s">
        <v>243</v>
      </c>
      <c r="H287" s="8" t="s">
        <v>244</v>
      </c>
      <c r="I287" s="16" t="s">
        <v>138</v>
      </c>
      <c r="J287" s="16">
        <v>17.988216000000001</v>
      </c>
      <c r="K287" s="16">
        <v>-96.832437999999996</v>
      </c>
      <c r="L287" s="16" t="str">
        <f>HYPERLINK("https://maps.google.com/?q=17.988216,-96.832438", "🔗 Ver Mapa")</f>
        <v>🔗 Ver Mapa</v>
      </c>
    </row>
    <row r="288" spans="1:12" ht="72.5" x14ac:dyDescent="0.35">
      <c r="A288" s="6" t="s">
        <v>225</v>
      </c>
      <c r="B288" s="6" t="s">
        <v>226</v>
      </c>
      <c r="C288" s="6" t="s">
        <v>242</v>
      </c>
      <c r="D288" s="11" t="s">
        <v>69</v>
      </c>
      <c r="E288" s="17" t="s">
        <v>164</v>
      </c>
      <c r="F288" s="17" t="s">
        <v>165</v>
      </c>
      <c r="G288" s="11" t="s">
        <v>243</v>
      </c>
      <c r="H288" s="11" t="s">
        <v>244</v>
      </c>
      <c r="I288" s="17" t="s">
        <v>138</v>
      </c>
      <c r="J288" s="17">
        <v>17.988555000000002</v>
      </c>
      <c r="K288" s="17">
        <v>-96.835376999999994</v>
      </c>
      <c r="L288" s="17" t="str">
        <f>HYPERLINK("https://maps.google.com/?q=17.988555,-96.835377", "🔗 Ver Mapa")</f>
        <v>🔗 Ver Mapa</v>
      </c>
    </row>
    <row r="289" spans="1:12" ht="72.5" x14ac:dyDescent="0.35">
      <c r="A289" s="5" t="s">
        <v>225</v>
      </c>
      <c r="B289" s="5" t="s">
        <v>226</v>
      </c>
      <c r="C289" s="5" t="s">
        <v>242</v>
      </c>
      <c r="D289" s="8" t="s">
        <v>69</v>
      </c>
      <c r="E289" s="16" t="s">
        <v>164</v>
      </c>
      <c r="F289" s="16" t="s">
        <v>165</v>
      </c>
      <c r="G289" s="8" t="s">
        <v>243</v>
      </c>
      <c r="H289" s="8" t="s">
        <v>244</v>
      </c>
      <c r="I289" s="16" t="s">
        <v>138</v>
      </c>
      <c r="J289" s="16">
        <v>17.989666</v>
      </c>
      <c r="K289" s="16">
        <v>-96.830518999999995</v>
      </c>
      <c r="L289" s="16" t="str">
        <f>HYPERLINK("https://maps.google.com/?q=17.989666,-96.830519", "🔗 Ver Mapa")</f>
        <v>🔗 Ver Mapa</v>
      </c>
    </row>
    <row r="290" spans="1:12" ht="72.5" x14ac:dyDescent="0.35">
      <c r="A290" s="6" t="s">
        <v>225</v>
      </c>
      <c r="B290" s="6" t="s">
        <v>226</v>
      </c>
      <c r="C290" s="6" t="s">
        <v>245</v>
      </c>
      <c r="D290" s="11" t="s">
        <v>69</v>
      </c>
      <c r="E290" s="17" t="s">
        <v>73</v>
      </c>
      <c r="F290" s="17" t="s">
        <v>81</v>
      </c>
      <c r="G290" s="11" t="s">
        <v>246</v>
      </c>
      <c r="H290" s="11" t="s">
        <v>247</v>
      </c>
      <c r="I290" s="17" t="s">
        <v>138</v>
      </c>
      <c r="J290" s="17">
        <v>17.466591000000001</v>
      </c>
      <c r="K290" s="17">
        <v>-97.572622999999993</v>
      </c>
      <c r="L290" s="17" t="str">
        <f>HYPERLINK("https://maps.google.com/?q=17.466591,-97.572623", "🔗 Ver Mapa")</f>
        <v>🔗 Ver Mapa</v>
      </c>
    </row>
    <row r="291" spans="1:12" ht="72.5" x14ac:dyDescent="0.35">
      <c r="A291" s="5" t="s">
        <v>225</v>
      </c>
      <c r="B291" s="5" t="s">
        <v>226</v>
      </c>
      <c r="C291" s="5" t="s">
        <v>245</v>
      </c>
      <c r="D291" s="8" t="s">
        <v>69</v>
      </c>
      <c r="E291" s="16" t="s">
        <v>73</v>
      </c>
      <c r="F291" s="16" t="s">
        <v>81</v>
      </c>
      <c r="G291" s="8" t="s">
        <v>246</v>
      </c>
      <c r="H291" s="8" t="s">
        <v>247</v>
      </c>
      <c r="I291" s="16" t="s">
        <v>138</v>
      </c>
      <c r="J291" s="16">
        <v>17.468339</v>
      </c>
      <c r="K291" s="16">
        <v>-97.572211999999993</v>
      </c>
      <c r="L291" s="16" t="str">
        <f>HYPERLINK("https://maps.google.com/?q=17.468339,-97.572212", "🔗 Ver Mapa")</f>
        <v>🔗 Ver Mapa</v>
      </c>
    </row>
    <row r="292" spans="1:12" ht="72.5" x14ac:dyDescent="0.35">
      <c r="A292" s="6" t="s">
        <v>225</v>
      </c>
      <c r="B292" s="6" t="s">
        <v>226</v>
      </c>
      <c r="C292" s="6" t="s">
        <v>245</v>
      </c>
      <c r="D292" s="11" t="s">
        <v>69</v>
      </c>
      <c r="E292" s="17" t="s">
        <v>73</v>
      </c>
      <c r="F292" s="17" t="s">
        <v>81</v>
      </c>
      <c r="G292" s="11" t="s">
        <v>246</v>
      </c>
      <c r="H292" s="11" t="s">
        <v>247</v>
      </c>
      <c r="I292" s="17" t="s">
        <v>138</v>
      </c>
      <c r="J292" s="17">
        <v>17.470039</v>
      </c>
      <c r="K292" s="17">
        <v>-97.571889999999996</v>
      </c>
      <c r="L292" s="17" t="str">
        <f>HYPERLINK("https://maps.google.com/?q=17.470039,-97.57189", "🔗 Ver Mapa")</f>
        <v>🔗 Ver Mapa</v>
      </c>
    </row>
    <row r="293" spans="1:12" ht="72.5" x14ac:dyDescent="0.35">
      <c r="A293" s="5" t="s">
        <v>225</v>
      </c>
      <c r="B293" s="5" t="s">
        <v>226</v>
      </c>
      <c r="C293" s="5" t="s">
        <v>248</v>
      </c>
      <c r="D293" s="8" t="s">
        <v>69</v>
      </c>
      <c r="E293" s="16" t="s">
        <v>73</v>
      </c>
      <c r="F293" s="16" t="s">
        <v>249</v>
      </c>
      <c r="G293" s="8" t="s">
        <v>250</v>
      </c>
      <c r="H293" s="8" t="s">
        <v>251</v>
      </c>
      <c r="I293" s="16" t="s">
        <v>138</v>
      </c>
      <c r="J293" s="16">
        <v>17.946881999999999</v>
      </c>
      <c r="K293" s="16">
        <v>-98.055734000000001</v>
      </c>
      <c r="L293" s="16" t="str">
        <f>HYPERLINK("https://maps.google.com/?q=17.946882,-98.055734", "🔗 Ver Mapa")</f>
        <v>🔗 Ver Mapa</v>
      </c>
    </row>
    <row r="294" spans="1:12" ht="72.5" x14ac:dyDescent="0.35">
      <c r="A294" s="6" t="s">
        <v>225</v>
      </c>
      <c r="B294" s="6" t="s">
        <v>226</v>
      </c>
      <c r="C294" s="6" t="s">
        <v>248</v>
      </c>
      <c r="D294" s="11" t="s">
        <v>69</v>
      </c>
      <c r="E294" s="17" t="s">
        <v>73</v>
      </c>
      <c r="F294" s="17" t="s">
        <v>249</v>
      </c>
      <c r="G294" s="11" t="s">
        <v>250</v>
      </c>
      <c r="H294" s="11" t="s">
        <v>251</v>
      </c>
      <c r="I294" s="17" t="s">
        <v>138</v>
      </c>
      <c r="J294" s="17">
        <v>17.950772000000001</v>
      </c>
      <c r="K294" s="17">
        <v>-98.059685000000002</v>
      </c>
      <c r="L294" s="17" t="str">
        <f>HYPERLINK("https://maps.google.com/?q=17.950772,-98.059685", "🔗 Ver Mapa")</f>
        <v>🔗 Ver Mapa</v>
      </c>
    </row>
    <row r="295" spans="1:12" ht="72.5" x14ac:dyDescent="0.35">
      <c r="A295" s="5" t="s">
        <v>225</v>
      </c>
      <c r="B295" s="5" t="s">
        <v>226</v>
      </c>
      <c r="C295" s="5" t="s">
        <v>248</v>
      </c>
      <c r="D295" s="8" t="s">
        <v>69</v>
      </c>
      <c r="E295" s="16" t="s">
        <v>73</v>
      </c>
      <c r="F295" s="16" t="s">
        <v>249</v>
      </c>
      <c r="G295" s="8" t="s">
        <v>250</v>
      </c>
      <c r="H295" s="8" t="s">
        <v>251</v>
      </c>
      <c r="I295" s="16" t="s">
        <v>138</v>
      </c>
      <c r="J295" s="16">
        <v>17.954750000000001</v>
      </c>
      <c r="K295" s="16">
        <v>-98.062977000000004</v>
      </c>
      <c r="L295" s="16" t="str">
        <f>HYPERLINK("https://maps.google.com/?q=17.95475,-98.062977", "🔗 Ver Mapa")</f>
        <v>🔗 Ver Mapa</v>
      </c>
    </row>
    <row r="296" spans="1:12" ht="72.5" x14ac:dyDescent="0.35">
      <c r="A296" s="6" t="s">
        <v>225</v>
      </c>
      <c r="B296" s="6" t="s">
        <v>226</v>
      </c>
      <c r="C296" s="6" t="s">
        <v>252</v>
      </c>
      <c r="D296" s="11" t="s">
        <v>69</v>
      </c>
      <c r="E296" s="17" t="s">
        <v>77</v>
      </c>
      <c r="F296" s="17" t="s">
        <v>201</v>
      </c>
      <c r="G296" s="11" t="s">
        <v>202</v>
      </c>
      <c r="H296" s="11" t="s">
        <v>203</v>
      </c>
      <c r="I296" s="17" t="s">
        <v>138</v>
      </c>
      <c r="J296" s="17">
        <v>16.639828000000001</v>
      </c>
      <c r="K296" s="17">
        <v>-95.517190999999997</v>
      </c>
      <c r="L296" s="17" t="str">
        <f>HYPERLINK("https://maps.google.com/?q=16.639828,-95.517191", "🔗 Ver Mapa")</f>
        <v>🔗 Ver Mapa</v>
      </c>
    </row>
    <row r="297" spans="1:12" ht="72.5" x14ac:dyDescent="0.35">
      <c r="A297" s="5" t="s">
        <v>225</v>
      </c>
      <c r="B297" s="5" t="s">
        <v>226</v>
      </c>
      <c r="C297" s="5" t="s">
        <v>252</v>
      </c>
      <c r="D297" s="8" t="s">
        <v>69</v>
      </c>
      <c r="E297" s="16" t="s">
        <v>77</v>
      </c>
      <c r="F297" s="16" t="s">
        <v>201</v>
      </c>
      <c r="G297" s="8" t="s">
        <v>202</v>
      </c>
      <c r="H297" s="8" t="s">
        <v>203</v>
      </c>
      <c r="I297" s="16" t="s">
        <v>138</v>
      </c>
      <c r="J297" s="16">
        <v>16.667235000000002</v>
      </c>
      <c r="K297" s="16">
        <v>-95.531021999999993</v>
      </c>
      <c r="L297" s="16" t="str">
        <f>HYPERLINK("https://maps.google.com/?q=16.667235,-95.531022", "🔗 Ver Mapa")</f>
        <v>🔗 Ver Mapa</v>
      </c>
    </row>
    <row r="298" spans="1:12" ht="72.5" x14ac:dyDescent="0.35">
      <c r="A298" s="6" t="s">
        <v>225</v>
      </c>
      <c r="B298" s="6" t="s">
        <v>226</v>
      </c>
      <c r="C298" s="6" t="s">
        <v>252</v>
      </c>
      <c r="D298" s="11" t="s">
        <v>69</v>
      </c>
      <c r="E298" s="17" t="s">
        <v>77</v>
      </c>
      <c r="F298" s="17" t="s">
        <v>201</v>
      </c>
      <c r="G298" s="11" t="s">
        <v>202</v>
      </c>
      <c r="H298" s="11" t="s">
        <v>203</v>
      </c>
      <c r="I298" s="17" t="s">
        <v>138</v>
      </c>
      <c r="J298" s="17">
        <v>16.683551999999999</v>
      </c>
      <c r="K298" s="17">
        <v>-95.534549999999996</v>
      </c>
      <c r="L298" s="17" t="str">
        <f>HYPERLINK("https://maps.google.com/?q=16.683552,-95.53455", "🔗 Ver Mapa")</f>
        <v>🔗 Ver Mapa</v>
      </c>
    </row>
    <row r="299" spans="1:12" ht="58" x14ac:dyDescent="0.35">
      <c r="A299" s="5" t="s">
        <v>225</v>
      </c>
      <c r="B299" s="5" t="s">
        <v>226</v>
      </c>
      <c r="C299" s="5" t="s">
        <v>253</v>
      </c>
      <c r="D299" s="8" t="s">
        <v>69</v>
      </c>
      <c r="E299" s="16" t="s">
        <v>77</v>
      </c>
      <c r="F299" s="16" t="s">
        <v>88</v>
      </c>
      <c r="G299" s="8" t="s">
        <v>254</v>
      </c>
      <c r="H299" s="8" t="s">
        <v>255</v>
      </c>
      <c r="I299" s="16" t="s">
        <v>138</v>
      </c>
      <c r="J299" s="16">
        <v>16.518424</v>
      </c>
      <c r="K299" s="16">
        <v>-94.700846999999996</v>
      </c>
      <c r="L299" s="16" t="str">
        <f>HYPERLINK("https://maps.google.com/?q=16.518424,-94.700847", "🔗 Ver Mapa")</f>
        <v>🔗 Ver Mapa</v>
      </c>
    </row>
    <row r="300" spans="1:12" ht="58" x14ac:dyDescent="0.35">
      <c r="A300" s="6" t="s">
        <v>225</v>
      </c>
      <c r="B300" s="6" t="s">
        <v>226</v>
      </c>
      <c r="C300" s="6" t="s">
        <v>253</v>
      </c>
      <c r="D300" s="11" t="s">
        <v>69</v>
      </c>
      <c r="E300" s="17" t="s">
        <v>77</v>
      </c>
      <c r="F300" s="17" t="s">
        <v>88</v>
      </c>
      <c r="G300" s="11" t="s">
        <v>254</v>
      </c>
      <c r="H300" s="11" t="s">
        <v>255</v>
      </c>
      <c r="I300" s="17" t="s">
        <v>138</v>
      </c>
      <c r="J300" s="17">
        <v>16.522157</v>
      </c>
      <c r="K300" s="17">
        <v>-94.700275000000005</v>
      </c>
      <c r="L300" s="17" t="str">
        <f>HYPERLINK("https://maps.google.com/?q=16.522157,-94.700275", "🔗 Ver Mapa")</f>
        <v>🔗 Ver Mapa</v>
      </c>
    </row>
    <row r="301" spans="1:12" ht="58" x14ac:dyDescent="0.35">
      <c r="A301" s="5" t="s">
        <v>225</v>
      </c>
      <c r="B301" s="5" t="s">
        <v>226</v>
      </c>
      <c r="C301" s="5" t="s">
        <v>253</v>
      </c>
      <c r="D301" s="8" t="s">
        <v>69</v>
      </c>
      <c r="E301" s="16" t="s">
        <v>77</v>
      </c>
      <c r="F301" s="16" t="s">
        <v>88</v>
      </c>
      <c r="G301" s="8" t="s">
        <v>254</v>
      </c>
      <c r="H301" s="8" t="s">
        <v>255</v>
      </c>
      <c r="I301" s="16" t="s">
        <v>138</v>
      </c>
      <c r="J301" s="16">
        <v>16.525922999999999</v>
      </c>
      <c r="K301" s="16">
        <v>-94.699684000000005</v>
      </c>
      <c r="L301" s="16" t="str">
        <f>HYPERLINK("https://maps.google.com/?q=16.525923,-94.699684", "🔗 Ver Mapa")</f>
        <v>🔗 Ver Mapa</v>
      </c>
    </row>
    <row r="302" spans="1:12" ht="58" x14ac:dyDescent="0.35">
      <c r="A302" s="6" t="s">
        <v>1</v>
      </c>
      <c r="B302" s="6" t="s">
        <v>14</v>
      </c>
      <c r="C302" s="6" t="s">
        <v>256</v>
      </c>
      <c r="D302" s="11" t="s">
        <v>61</v>
      </c>
      <c r="E302" s="17" t="s">
        <v>74</v>
      </c>
      <c r="F302" s="17" t="s">
        <v>82</v>
      </c>
      <c r="G302" s="11" t="s">
        <v>257</v>
      </c>
      <c r="H302" s="11" t="s">
        <v>258</v>
      </c>
      <c r="I302" s="17" t="s">
        <v>138</v>
      </c>
      <c r="J302" s="17">
        <v>16.498847299906</v>
      </c>
      <c r="K302" s="17">
        <v>-98.337505168940993</v>
      </c>
      <c r="L302" s="17" t="str">
        <f>HYPERLINK("https://maps.google.com/?q=16.498847299906,-98.337505168941", "🔗 Ver Mapa")</f>
        <v>🔗 Ver Mapa</v>
      </c>
    </row>
    <row r="303" spans="1:12" ht="43.5" x14ac:dyDescent="0.35">
      <c r="A303" s="5" t="s">
        <v>1</v>
      </c>
      <c r="B303" s="5" t="s">
        <v>14</v>
      </c>
      <c r="C303" s="5" t="s">
        <v>259</v>
      </c>
      <c r="D303" s="8" t="s">
        <v>61</v>
      </c>
      <c r="E303" s="16" t="s">
        <v>73</v>
      </c>
      <c r="F303" s="16" t="s">
        <v>260</v>
      </c>
      <c r="G303" s="8" t="s">
        <v>261</v>
      </c>
      <c r="H303" s="8" t="s">
        <v>262</v>
      </c>
      <c r="I303" s="16" t="s">
        <v>138</v>
      </c>
      <c r="J303" s="16">
        <v>17.883337084886001</v>
      </c>
      <c r="K303" s="16">
        <v>-97.372063104339006</v>
      </c>
      <c r="L303" s="16" t="str">
        <f>HYPERLINK("https://maps.google.com/?q=17.883337084886,-97.372063104339", "🔗 Ver Mapa")</f>
        <v>🔗 Ver Mapa</v>
      </c>
    </row>
    <row r="304" spans="1:12" ht="43.5" x14ac:dyDescent="0.35">
      <c r="A304" s="6" t="s">
        <v>1</v>
      </c>
      <c r="B304" s="6" t="s">
        <v>14</v>
      </c>
      <c r="C304" s="6" t="s">
        <v>263</v>
      </c>
      <c r="D304" s="11" t="s">
        <v>61</v>
      </c>
      <c r="E304" s="17" t="s">
        <v>164</v>
      </c>
      <c r="F304" s="17" t="s">
        <v>165</v>
      </c>
      <c r="G304" s="11" t="s">
        <v>264</v>
      </c>
      <c r="H304" s="11" t="s">
        <v>265</v>
      </c>
      <c r="I304" s="17" t="s">
        <v>138</v>
      </c>
      <c r="J304" s="17">
        <v>18.034795127272002</v>
      </c>
      <c r="K304" s="17">
        <v>-96.548862637702996</v>
      </c>
      <c r="L304" s="17" t="str">
        <f>HYPERLINK("https://maps.google.com/?q=18.034795127272,-96.548862637703", "🔗 Ver Mapa")</f>
        <v>🔗 Ver Mapa</v>
      </c>
    </row>
    <row r="305" spans="1:12" ht="43.5" x14ac:dyDescent="0.35">
      <c r="A305" s="5" t="s">
        <v>7</v>
      </c>
      <c r="B305" s="5" t="s">
        <v>20</v>
      </c>
      <c r="C305" s="5" t="s">
        <v>266</v>
      </c>
      <c r="D305" s="8" t="s">
        <v>219</v>
      </c>
      <c r="E305" s="16" t="s">
        <v>75</v>
      </c>
      <c r="F305" s="16" t="s">
        <v>267</v>
      </c>
      <c r="G305" s="8" t="s">
        <v>268</v>
      </c>
      <c r="H305" s="8" t="s">
        <v>269</v>
      </c>
      <c r="I305" s="16" t="s">
        <v>138</v>
      </c>
      <c r="J305" s="16">
        <v>16.939719074222001</v>
      </c>
      <c r="K305" s="16">
        <v>-96.708161880356997</v>
      </c>
      <c r="L305" s="16" t="str">
        <f>HYPERLINK("https://maps.google.com/?q=16.939719074222,-96.708161880357", "🔗 Ver Mapa")</f>
        <v>🔗 Ver Mapa</v>
      </c>
    </row>
    <row r="306" spans="1:12" ht="43.5" x14ac:dyDescent="0.35">
      <c r="A306" s="6" t="s">
        <v>7</v>
      </c>
      <c r="B306" s="6" t="s">
        <v>20</v>
      </c>
      <c r="C306" s="6" t="s">
        <v>266</v>
      </c>
      <c r="D306" s="11" t="s">
        <v>219</v>
      </c>
      <c r="E306" s="17" t="s">
        <v>75</v>
      </c>
      <c r="F306" s="17" t="s">
        <v>267</v>
      </c>
      <c r="G306" s="11" t="s">
        <v>268</v>
      </c>
      <c r="H306" s="11" t="s">
        <v>269</v>
      </c>
      <c r="I306" s="17" t="s">
        <v>138</v>
      </c>
      <c r="J306" s="17">
        <v>16.939831900000001</v>
      </c>
      <c r="K306" s="17">
        <v>-96.707699399999996</v>
      </c>
      <c r="L306" s="17" t="str">
        <f>HYPERLINK("https://maps.google.com/?q=16.9398319,-96.7076994", "🔗 Ver Mapa")</f>
        <v>🔗 Ver Mapa</v>
      </c>
    </row>
    <row r="307" spans="1:12" ht="43.5" x14ac:dyDescent="0.35">
      <c r="A307" s="5" t="s">
        <v>7</v>
      </c>
      <c r="B307" s="5" t="s">
        <v>20</v>
      </c>
      <c r="C307" s="5" t="s">
        <v>266</v>
      </c>
      <c r="D307" s="8" t="s">
        <v>219</v>
      </c>
      <c r="E307" s="16" t="s">
        <v>75</v>
      </c>
      <c r="F307" s="16" t="s">
        <v>267</v>
      </c>
      <c r="G307" s="8" t="s">
        <v>268</v>
      </c>
      <c r="H307" s="8" t="s">
        <v>269</v>
      </c>
      <c r="I307" s="16" t="s">
        <v>138</v>
      </c>
      <c r="J307" s="16">
        <v>16.939934999999998</v>
      </c>
      <c r="K307" s="16">
        <v>-96.708705199999997</v>
      </c>
      <c r="L307" s="16" t="str">
        <f>HYPERLINK("https://maps.google.com/?q=16.939935,-96.7087052", "🔗 Ver Mapa")</f>
        <v>🔗 Ver Mapa</v>
      </c>
    </row>
    <row r="308" spans="1:12" ht="43.5" x14ac:dyDescent="0.35">
      <c r="A308" s="6" t="s">
        <v>7</v>
      </c>
      <c r="B308" s="6" t="s">
        <v>20</v>
      </c>
      <c r="C308" s="6" t="s">
        <v>266</v>
      </c>
      <c r="D308" s="11" t="s">
        <v>219</v>
      </c>
      <c r="E308" s="17" t="s">
        <v>75</v>
      </c>
      <c r="F308" s="17" t="s">
        <v>267</v>
      </c>
      <c r="G308" s="11" t="s">
        <v>268</v>
      </c>
      <c r="H308" s="11" t="s">
        <v>269</v>
      </c>
      <c r="I308" s="17" t="s">
        <v>138</v>
      </c>
      <c r="J308" s="17">
        <v>16.9401349</v>
      </c>
      <c r="K308" s="17">
        <v>-96.709180700000005</v>
      </c>
      <c r="L308" s="17" t="str">
        <f>HYPERLINK("https://maps.google.com/?q=16.9401349,-96.7091807", "🔗 Ver Mapa")</f>
        <v>🔗 Ver Mapa</v>
      </c>
    </row>
    <row r="309" spans="1:12" ht="43.5" x14ac:dyDescent="0.35">
      <c r="A309" s="5" t="s">
        <v>7</v>
      </c>
      <c r="B309" s="5" t="s">
        <v>20</v>
      </c>
      <c r="C309" s="5" t="s">
        <v>266</v>
      </c>
      <c r="D309" s="8" t="s">
        <v>219</v>
      </c>
      <c r="E309" s="16" t="s">
        <v>75</v>
      </c>
      <c r="F309" s="16" t="s">
        <v>267</v>
      </c>
      <c r="G309" s="8" t="s">
        <v>268</v>
      </c>
      <c r="H309" s="8" t="s">
        <v>269</v>
      </c>
      <c r="I309" s="16" t="s">
        <v>138</v>
      </c>
      <c r="J309" s="16">
        <v>16.940217499999999</v>
      </c>
      <c r="K309" s="16">
        <v>-96.707623499999997</v>
      </c>
      <c r="L309" s="16" t="str">
        <f>HYPERLINK("https://maps.google.com/?q=16.9402175,-96.7076235", "🔗 Ver Mapa")</f>
        <v>🔗 Ver Mapa</v>
      </c>
    </row>
    <row r="310" spans="1:12" ht="43.5" x14ac:dyDescent="0.35">
      <c r="A310" s="6" t="s">
        <v>7</v>
      </c>
      <c r="B310" s="6" t="s">
        <v>20</v>
      </c>
      <c r="C310" s="6" t="s">
        <v>266</v>
      </c>
      <c r="D310" s="11" t="s">
        <v>219</v>
      </c>
      <c r="E310" s="17" t="s">
        <v>75</v>
      </c>
      <c r="F310" s="17" t="s">
        <v>267</v>
      </c>
      <c r="G310" s="11" t="s">
        <v>268</v>
      </c>
      <c r="H310" s="11" t="s">
        <v>269</v>
      </c>
      <c r="I310" s="17" t="s">
        <v>138</v>
      </c>
      <c r="J310" s="17">
        <v>16.940334499999999</v>
      </c>
      <c r="K310" s="17">
        <v>-96.709655100000006</v>
      </c>
      <c r="L310" s="17" t="str">
        <f>HYPERLINK("https://maps.google.com/?q=16.9403345,-96.7096551", "🔗 Ver Mapa")</f>
        <v>🔗 Ver Mapa</v>
      </c>
    </row>
    <row r="311" spans="1:12" ht="43.5" x14ac:dyDescent="0.35">
      <c r="A311" s="5" t="s">
        <v>7</v>
      </c>
      <c r="B311" s="5" t="s">
        <v>20</v>
      </c>
      <c r="C311" s="5" t="s">
        <v>266</v>
      </c>
      <c r="D311" s="8" t="s">
        <v>219</v>
      </c>
      <c r="E311" s="16" t="s">
        <v>75</v>
      </c>
      <c r="F311" s="16" t="s">
        <v>267</v>
      </c>
      <c r="G311" s="8" t="s">
        <v>268</v>
      </c>
      <c r="H311" s="8" t="s">
        <v>269</v>
      </c>
      <c r="I311" s="16" t="s">
        <v>138</v>
      </c>
      <c r="J311" s="16">
        <v>16.940534199999998</v>
      </c>
      <c r="K311" s="16">
        <v>-96.710128600000004</v>
      </c>
      <c r="L311" s="16" t="str">
        <f>HYPERLINK("https://maps.google.com/?q=16.9405342,-96.7101286", "🔗 Ver Mapa")</f>
        <v>🔗 Ver Mapa</v>
      </c>
    </row>
    <row r="312" spans="1:12" ht="43.5" x14ac:dyDescent="0.35">
      <c r="A312" s="6" t="s">
        <v>7</v>
      </c>
      <c r="B312" s="6" t="s">
        <v>20</v>
      </c>
      <c r="C312" s="6" t="s">
        <v>266</v>
      </c>
      <c r="D312" s="11" t="s">
        <v>219</v>
      </c>
      <c r="E312" s="17" t="s">
        <v>75</v>
      </c>
      <c r="F312" s="17" t="s">
        <v>267</v>
      </c>
      <c r="G312" s="11" t="s">
        <v>268</v>
      </c>
      <c r="H312" s="11" t="s">
        <v>269</v>
      </c>
      <c r="I312" s="17" t="s">
        <v>138</v>
      </c>
      <c r="J312" s="17">
        <v>16.941580600000002</v>
      </c>
      <c r="K312" s="17">
        <v>-96.710277300000001</v>
      </c>
      <c r="L312" s="17" t="str">
        <f>HYPERLINK("https://maps.google.com/?q=16.9415806,-96.7102773", "🔗 Ver Mapa")</f>
        <v>🔗 Ver Mapa</v>
      </c>
    </row>
    <row r="313" spans="1:12" ht="43.5" x14ac:dyDescent="0.35">
      <c r="A313" s="5" t="s">
        <v>7</v>
      </c>
      <c r="B313" s="5" t="s">
        <v>20</v>
      </c>
      <c r="C313" s="5" t="s">
        <v>266</v>
      </c>
      <c r="D313" s="8" t="s">
        <v>219</v>
      </c>
      <c r="E313" s="16" t="s">
        <v>75</v>
      </c>
      <c r="F313" s="16" t="s">
        <v>267</v>
      </c>
      <c r="G313" s="8" t="s">
        <v>268</v>
      </c>
      <c r="H313" s="8" t="s">
        <v>269</v>
      </c>
      <c r="I313" s="16" t="s">
        <v>138</v>
      </c>
      <c r="J313" s="16">
        <v>16.941667500000001</v>
      </c>
      <c r="K313" s="16">
        <v>-96.710547899999995</v>
      </c>
      <c r="L313" s="16" t="str">
        <f>HYPERLINK("https://maps.google.com/?q=16.9416675,-96.7105479", "🔗 Ver Mapa")</f>
        <v>🔗 Ver Mapa</v>
      </c>
    </row>
    <row r="314" spans="1:12" ht="43.5" x14ac:dyDescent="0.35">
      <c r="A314" s="6" t="s">
        <v>7</v>
      </c>
      <c r="B314" s="6" t="s">
        <v>20</v>
      </c>
      <c r="C314" s="6" t="s">
        <v>266</v>
      </c>
      <c r="D314" s="11" t="s">
        <v>219</v>
      </c>
      <c r="E314" s="17" t="s">
        <v>75</v>
      </c>
      <c r="F314" s="17" t="s">
        <v>267</v>
      </c>
      <c r="G314" s="11" t="s">
        <v>268</v>
      </c>
      <c r="H314" s="11" t="s">
        <v>269</v>
      </c>
      <c r="I314" s="17" t="s">
        <v>138</v>
      </c>
      <c r="J314" s="17">
        <v>16.941815999999999</v>
      </c>
      <c r="K314" s="17">
        <v>-96.711005</v>
      </c>
      <c r="L314" s="17" t="str">
        <f>HYPERLINK("https://maps.google.com/?q=16.941816,-96.711005", "🔗 Ver Mapa")</f>
        <v>🔗 Ver Mapa</v>
      </c>
    </row>
    <row r="315" spans="1:12" ht="43.5" x14ac:dyDescent="0.35">
      <c r="A315" s="5" t="s">
        <v>7</v>
      </c>
      <c r="B315" s="5" t="s">
        <v>20</v>
      </c>
      <c r="C315" s="5" t="s">
        <v>266</v>
      </c>
      <c r="D315" s="8" t="s">
        <v>219</v>
      </c>
      <c r="E315" s="16" t="s">
        <v>75</v>
      </c>
      <c r="F315" s="16" t="s">
        <v>267</v>
      </c>
      <c r="G315" s="8" t="s">
        <v>268</v>
      </c>
      <c r="H315" s="8" t="s">
        <v>269</v>
      </c>
      <c r="I315" s="16" t="s">
        <v>138</v>
      </c>
      <c r="J315" s="16">
        <v>16.941972499999999</v>
      </c>
      <c r="K315" s="16">
        <v>-96.711492399999997</v>
      </c>
      <c r="L315" s="16" t="str">
        <f>HYPERLINK("https://maps.google.com/?q=16.9419725,-96.7114924", "🔗 Ver Mapa")</f>
        <v>🔗 Ver Mapa</v>
      </c>
    </row>
    <row r="316" spans="1:12" ht="43.5" x14ac:dyDescent="0.35">
      <c r="A316" s="6" t="s">
        <v>7</v>
      </c>
      <c r="B316" s="6" t="s">
        <v>20</v>
      </c>
      <c r="C316" s="6" t="s">
        <v>266</v>
      </c>
      <c r="D316" s="11" t="s">
        <v>219</v>
      </c>
      <c r="E316" s="17" t="s">
        <v>75</v>
      </c>
      <c r="F316" s="17" t="s">
        <v>267</v>
      </c>
      <c r="G316" s="11" t="s">
        <v>268</v>
      </c>
      <c r="H316" s="11" t="s">
        <v>269</v>
      </c>
      <c r="I316" s="17" t="s">
        <v>138</v>
      </c>
      <c r="J316" s="17">
        <v>16.942130500000001</v>
      </c>
      <c r="K316" s="17">
        <v>-96.711979400000004</v>
      </c>
      <c r="L316" s="17" t="str">
        <f>HYPERLINK("https://maps.google.com/?q=16.9421305,-96.7119794", "🔗 Ver Mapa")</f>
        <v>🔗 Ver Mapa</v>
      </c>
    </row>
    <row r="317" spans="1:12" ht="43.5" x14ac:dyDescent="0.35">
      <c r="A317" s="5" t="s">
        <v>7</v>
      </c>
      <c r="B317" s="5" t="s">
        <v>20</v>
      </c>
      <c r="C317" s="5" t="s">
        <v>266</v>
      </c>
      <c r="D317" s="8" t="s">
        <v>219</v>
      </c>
      <c r="E317" s="16" t="s">
        <v>75</v>
      </c>
      <c r="F317" s="16" t="s">
        <v>267</v>
      </c>
      <c r="G317" s="8" t="s">
        <v>268</v>
      </c>
      <c r="H317" s="8" t="s">
        <v>269</v>
      </c>
      <c r="I317" s="16" t="s">
        <v>138</v>
      </c>
      <c r="J317" s="16">
        <v>16.942290199999999</v>
      </c>
      <c r="K317" s="16">
        <v>-96.712469999999996</v>
      </c>
      <c r="L317" s="16" t="str">
        <f>HYPERLINK("https://maps.google.com/?q=16.9422902,-96.71247", "🔗 Ver Mapa")</f>
        <v>🔗 Ver Mapa</v>
      </c>
    </row>
    <row r="318" spans="1:12" ht="43.5" x14ac:dyDescent="0.35">
      <c r="A318" s="6" t="s">
        <v>270</v>
      </c>
      <c r="B318" s="6" t="s">
        <v>271</v>
      </c>
      <c r="C318" s="6" t="s">
        <v>272</v>
      </c>
      <c r="D318" s="11" t="s">
        <v>273</v>
      </c>
      <c r="E318" s="17" t="s">
        <v>73</v>
      </c>
      <c r="F318" s="17" t="s">
        <v>83</v>
      </c>
      <c r="G318" s="11" t="s">
        <v>274</v>
      </c>
      <c r="H318" s="11" t="s">
        <v>275</v>
      </c>
      <c r="I318" s="17" t="s">
        <v>138</v>
      </c>
      <c r="J318" s="17">
        <v>17.008236551547</v>
      </c>
      <c r="K318" s="17">
        <v>-97.700653566696005</v>
      </c>
      <c r="L318" s="17" t="str">
        <f>HYPERLINK("https://maps.google.com/?q=17.008236551547,-97.700653566696", "🔗 Ver Mapa")</f>
        <v>🔗 Ver Mapa</v>
      </c>
    </row>
    <row r="319" spans="1:12" ht="43.5" x14ac:dyDescent="0.35">
      <c r="A319" s="5" t="s">
        <v>270</v>
      </c>
      <c r="B319" s="5" t="s">
        <v>271</v>
      </c>
      <c r="C319" s="5" t="s">
        <v>272</v>
      </c>
      <c r="D319" s="8" t="s">
        <v>273</v>
      </c>
      <c r="E319" s="16" t="s">
        <v>73</v>
      </c>
      <c r="F319" s="16" t="s">
        <v>83</v>
      </c>
      <c r="G319" s="8" t="s">
        <v>274</v>
      </c>
      <c r="H319" s="8" t="s">
        <v>275</v>
      </c>
      <c r="I319" s="16" t="s">
        <v>138</v>
      </c>
      <c r="J319" s="16">
        <v>17.008936766977001</v>
      </c>
      <c r="K319" s="16">
        <v>-97.699985696652007</v>
      </c>
      <c r="L319" s="16" t="str">
        <f>HYPERLINK("https://maps.google.com/?q=17.008936766977,-97.699985696652", "🔗 Ver Mapa")</f>
        <v>🔗 Ver Mapa</v>
      </c>
    </row>
    <row r="320" spans="1:12" ht="43.5" x14ac:dyDescent="0.35">
      <c r="A320" s="6" t="s">
        <v>270</v>
      </c>
      <c r="B320" s="6" t="s">
        <v>271</v>
      </c>
      <c r="C320" s="6" t="s">
        <v>272</v>
      </c>
      <c r="D320" s="11" t="s">
        <v>273</v>
      </c>
      <c r="E320" s="17" t="s">
        <v>73</v>
      </c>
      <c r="F320" s="17" t="s">
        <v>83</v>
      </c>
      <c r="G320" s="11" t="s">
        <v>274</v>
      </c>
      <c r="H320" s="11" t="s">
        <v>275</v>
      </c>
      <c r="I320" s="17" t="s">
        <v>138</v>
      </c>
      <c r="J320" s="17">
        <v>17.009221469204999</v>
      </c>
      <c r="K320" s="17">
        <v>-97.699521674492004</v>
      </c>
      <c r="L320" s="17" t="str">
        <f>HYPERLINK("https://maps.google.com/?q=17.009221469205,-97.699521674492", "🔗 Ver Mapa")</f>
        <v>🔗 Ver Mapa</v>
      </c>
    </row>
    <row r="321" spans="1:12" ht="43.5" x14ac:dyDescent="0.35">
      <c r="A321" s="5" t="s">
        <v>270</v>
      </c>
      <c r="B321" s="5" t="s">
        <v>271</v>
      </c>
      <c r="C321" s="5" t="s">
        <v>272</v>
      </c>
      <c r="D321" s="8" t="s">
        <v>273</v>
      </c>
      <c r="E321" s="16" t="s">
        <v>73</v>
      </c>
      <c r="F321" s="16" t="s">
        <v>83</v>
      </c>
      <c r="G321" s="8" t="s">
        <v>274</v>
      </c>
      <c r="H321" s="8" t="s">
        <v>275</v>
      </c>
      <c r="I321" s="16" t="s">
        <v>138</v>
      </c>
      <c r="J321" s="16">
        <v>17.009321499615002</v>
      </c>
      <c r="K321" s="16">
        <v>-97.700339748242001</v>
      </c>
      <c r="L321" s="16" t="str">
        <f>HYPERLINK("https://maps.google.com/?q=17.009321499615,-97.700339748242", "🔗 Ver Mapa")</f>
        <v>🔗 Ver Mapa</v>
      </c>
    </row>
    <row r="322" spans="1:12" ht="43.5" x14ac:dyDescent="0.35">
      <c r="A322" s="6" t="s">
        <v>270</v>
      </c>
      <c r="B322" s="6" t="s">
        <v>271</v>
      </c>
      <c r="C322" s="6" t="s">
        <v>272</v>
      </c>
      <c r="D322" s="11" t="s">
        <v>273</v>
      </c>
      <c r="E322" s="17" t="s">
        <v>73</v>
      </c>
      <c r="F322" s="17" t="s">
        <v>83</v>
      </c>
      <c r="G322" s="11" t="s">
        <v>274</v>
      </c>
      <c r="H322" s="11" t="s">
        <v>275</v>
      </c>
      <c r="I322" s="17" t="s">
        <v>138</v>
      </c>
      <c r="J322" s="17">
        <v>17.009536949547002</v>
      </c>
      <c r="K322" s="17">
        <v>-97.700707210876004</v>
      </c>
      <c r="L322" s="17" t="str">
        <f>HYPERLINK("https://maps.google.com/?q=17.009536949547,-97.700707210876", "🔗 Ver Mapa")</f>
        <v>🔗 Ver Mapa</v>
      </c>
    </row>
    <row r="323" spans="1:12" ht="43.5" x14ac:dyDescent="0.35">
      <c r="A323" s="5" t="s">
        <v>270</v>
      </c>
      <c r="B323" s="5" t="s">
        <v>271</v>
      </c>
      <c r="C323" s="5" t="s">
        <v>272</v>
      </c>
      <c r="D323" s="8" t="s">
        <v>273</v>
      </c>
      <c r="E323" s="16" t="s">
        <v>73</v>
      </c>
      <c r="F323" s="16" t="s">
        <v>83</v>
      </c>
      <c r="G323" s="8" t="s">
        <v>274</v>
      </c>
      <c r="H323" s="8" t="s">
        <v>275</v>
      </c>
      <c r="I323" s="16" t="s">
        <v>138</v>
      </c>
      <c r="J323" s="16">
        <v>17.010039665091</v>
      </c>
      <c r="K323" s="16">
        <v>-97.701171233036007</v>
      </c>
      <c r="L323" s="16" t="str">
        <f>HYPERLINK("https://maps.google.com/?q=17.010039665091,-97.701171233036", "🔗 Ver Mapa")</f>
        <v>🔗 Ver Mapa</v>
      </c>
    </row>
    <row r="324" spans="1:12" ht="43.5" x14ac:dyDescent="0.35">
      <c r="A324" s="6" t="s">
        <v>270</v>
      </c>
      <c r="B324" s="6" t="s">
        <v>271</v>
      </c>
      <c r="C324" s="6" t="s">
        <v>276</v>
      </c>
      <c r="D324" s="11" t="s">
        <v>273</v>
      </c>
      <c r="E324" s="17" t="s">
        <v>73</v>
      </c>
      <c r="F324" s="17" t="s">
        <v>83</v>
      </c>
      <c r="G324" s="11" t="s">
        <v>274</v>
      </c>
      <c r="H324" s="11" t="s">
        <v>277</v>
      </c>
      <c r="I324" s="17" t="s">
        <v>138</v>
      </c>
      <c r="J324" s="17">
        <v>17.025573213070999</v>
      </c>
      <c r="K324" s="17">
        <v>-97.647694321713004</v>
      </c>
      <c r="L324" s="17" t="str">
        <f>HYPERLINK("https://maps.google.com/?q=17.025573213071,-97.647694321713", "🔗 Ver Mapa")</f>
        <v>🔗 Ver Mapa</v>
      </c>
    </row>
    <row r="325" spans="1:12" ht="43.5" x14ac:dyDescent="0.35">
      <c r="A325" s="5" t="s">
        <v>270</v>
      </c>
      <c r="B325" s="5" t="s">
        <v>271</v>
      </c>
      <c r="C325" s="5" t="s">
        <v>276</v>
      </c>
      <c r="D325" s="8" t="s">
        <v>273</v>
      </c>
      <c r="E325" s="16" t="s">
        <v>73</v>
      </c>
      <c r="F325" s="16" t="s">
        <v>83</v>
      </c>
      <c r="G325" s="8" t="s">
        <v>274</v>
      </c>
      <c r="H325" s="8" t="s">
        <v>277</v>
      </c>
      <c r="I325" s="16" t="s">
        <v>138</v>
      </c>
      <c r="J325" s="16">
        <v>17.026604203133999</v>
      </c>
      <c r="K325" s="16">
        <v>-97.646299573025004</v>
      </c>
      <c r="L325" s="16" t="str">
        <f>HYPERLINK("https://maps.google.com/?q=17.026604203134,-97.646299573025", "🔗 Ver Mapa")</f>
        <v>🔗 Ver Mapa</v>
      </c>
    </row>
    <row r="326" spans="1:12" ht="43.5" x14ac:dyDescent="0.35">
      <c r="A326" s="6" t="s">
        <v>270</v>
      </c>
      <c r="B326" s="6" t="s">
        <v>271</v>
      </c>
      <c r="C326" s="6" t="s">
        <v>276</v>
      </c>
      <c r="D326" s="11" t="s">
        <v>273</v>
      </c>
      <c r="E326" s="17" t="s">
        <v>73</v>
      </c>
      <c r="F326" s="17" t="s">
        <v>83</v>
      </c>
      <c r="G326" s="11" t="s">
        <v>274</v>
      </c>
      <c r="H326" s="11" t="s">
        <v>277</v>
      </c>
      <c r="I326" s="17" t="s">
        <v>138</v>
      </c>
      <c r="J326" s="17">
        <v>17.027958330705001</v>
      </c>
      <c r="K326" s="17">
        <v>-97.649220498641995</v>
      </c>
      <c r="L326" s="17" t="str">
        <f>HYPERLINK("https://maps.google.com/?q=17.027958330705,-97.649220498642", "🔗 Ver Mapa")</f>
        <v>🔗 Ver Mapa</v>
      </c>
    </row>
    <row r="327" spans="1:12" ht="43.5" x14ac:dyDescent="0.35">
      <c r="A327" s="5" t="s">
        <v>270</v>
      </c>
      <c r="B327" s="5" t="s">
        <v>271</v>
      </c>
      <c r="C327" s="5" t="s">
        <v>276</v>
      </c>
      <c r="D327" s="8" t="s">
        <v>273</v>
      </c>
      <c r="E327" s="16" t="s">
        <v>73</v>
      </c>
      <c r="F327" s="16" t="s">
        <v>83</v>
      </c>
      <c r="G327" s="8" t="s">
        <v>274</v>
      </c>
      <c r="H327" s="8" t="s">
        <v>277</v>
      </c>
      <c r="I327" s="16" t="s">
        <v>138</v>
      </c>
      <c r="J327" s="16">
        <v>17.028050657228</v>
      </c>
      <c r="K327" s="16">
        <v>-97.648466797908995</v>
      </c>
      <c r="L327" s="16" t="str">
        <f>HYPERLINK("https://maps.google.com/?q=17.028050657228,-97.648466797909", "🔗 Ver Mapa")</f>
        <v>🔗 Ver Mapa</v>
      </c>
    </row>
    <row r="328" spans="1:12" ht="43.5" x14ac:dyDescent="0.35">
      <c r="A328" s="6" t="s">
        <v>270</v>
      </c>
      <c r="B328" s="6" t="s">
        <v>271</v>
      </c>
      <c r="C328" s="6" t="s">
        <v>276</v>
      </c>
      <c r="D328" s="11" t="s">
        <v>273</v>
      </c>
      <c r="E328" s="17" t="s">
        <v>73</v>
      </c>
      <c r="F328" s="17" t="s">
        <v>83</v>
      </c>
      <c r="G328" s="11" t="s">
        <v>274</v>
      </c>
      <c r="H328" s="11" t="s">
        <v>277</v>
      </c>
      <c r="I328" s="17" t="s">
        <v>138</v>
      </c>
      <c r="J328" s="17">
        <v>17.028920063083</v>
      </c>
      <c r="K328" s="17">
        <v>-97.647688957295003</v>
      </c>
      <c r="L328" s="17" t="str">
        <f>HYPERLINK("https://maps.google.com/?q=17.028920063083,-97.647688957295", "🔗 Ver Mapa")</f>
        <v>🔗 Ver Mapa</v>
      </c>
    </row>
    <row r="329" spans="1:12" ht="43.5" x14ac:dyDescent="0.35">
      <c r="A329" s="5" t="s">
        <v>270</v>
      </c>
      <c r="B329" s="5" t="s">
        <v>271</v>
      </c>
      <c r="C329" s="5" t="s">
        <v>276</v>
      </c>
      <c r="D329" s="8" t="s">
        <v>273</v>
      </c>
      <c r="E329" s="16" t="s">
        <v>73</v>
      </c>
      <c r="F329" s="16" t="s">
        <v>83</v>
      </c>
      <c r="G329" s="8" t="s">
        <v>274</v>
      </c>
      <c r="H329" s="8" t="s">
        <v>277</v>
      </c>
      <c r="I329" s="16" t="s">
        <v>138</v>
      </c>
      <c r="J329" s="16">
        <v>17.029153442729001</v>
      </c>
      <c r="K329" s="16">
        <v>-97.647291990360998</v>
      </c>
      <c r="L329" s="16" t="str">
        <f>HYPERLINK("https://maps.google.com/?q=17.029153442729,-97.647291990361", "🔗 Ver Mapa")</f>
        <v>🔗 Ver Mapa</v>
      </c>
    </row>
    <row r="330" spans="1:12" ht="43.5" x14ac:dyDescent="0.35">
      <c r="A330" s="6" t="s">
        <v>270</v>
      </c>
      <c r="B330" s="6" t="s">
        <v>271</v>
      </c>
      <c r="C330" s="6" t="s">
        <v>278</v>
      </c>
      <c r="D330" s="11" t="s">
        <v>273</v>
      </c>
      <c r="E330" s="17" t="s">
        <v>73</v>
      </c>
      <c r="F330" s="17" t="s">
        <v>83</v>
      </c>
      <c r="G330" s="11" t="s">
        <v>274</v>
      </c>
      <c r="H330" s="11" t="s">
        <v>279</v>
      </c>
      <c r="I330" s="17" t="s">
        <v>138</v>
      </c>
      <c r="J330" s="17">
        <v>17.026523086987002</v>
      </c>
      <c r="K330" s="17">
        <v>-97.664542025526998</v>
      </c>
      <c r="L330" s="17" t="str">
        <f>HYPERLINK("https://maps.google.com/?q=17.026523086987,-97.664542025527", "🔗 Ver Mapa")</f>
        <v>🔗 Ver Mapa</v>
      </c>
    </row>
    <row r="331" spans="1:12" ht="43.5" x14ac:dyDescent="0.35">
      <c r="A331" s="5" t="s">
        <v>270</v>
      </c>
      <c r="B331" s="5" t="s">
        <v>271</v>
      </c>
      <c r="C331" s="5" t="s">
        <v>278</v>
      </c>
      <c r="D331" s="8" t="s">
        <v>273</v>
      </c>
      <c r="E331" s="16" t="s">
        <v>73</v>
      </c>
      <c r="F331" s="16" t="s">
        <v>83</v>
      </c>
      <c r="G331" s="8" t="s">
        <v>274</v>
      </c>
      <c r="H331" s="8" t="s">
        <v>279</v>
      </c>
      <c r="I331" s="16" t="s">
        <v>138</v>
      </c>
      <c r="J331" s="16">
        <v>17.026530780923999</v>
      </c>
      <c r="K331" s="16">
        <v>-97.665247446498</v>
      </c>
      <c r="L331" s="16" t="str">
        <f>HYPERLINK("https://maps.google.com/?q=17.026530780924,-97.665247446498", "🔗 Ver Mapa")</f>
        <v>🔗 Ver Mapa</v>
      </c>
    </row>
    <row r="332" spans="1:12" ht="43.5" x14ac:dyDescent="0.35">
      <c r="A332" s="6" t="s">
        <v>270</v>
      </c>
      <c r="B332" s="6" t="s">
        <v>271</v>
      </c>
      <c r="C332" s="6" t="s">
        <v>278</v>
      </c>
      <c r="D332" s="11" t="s">
        <v>273</v>
      </c>
      <c r="E332" s="17" t="s">
        <v>73</v>
      </c>
      <c r="F332" s="17" t="s">
        <v>83</v>
      </c>
      <c r="G332" s="11" t="s">
        <v>274</v>
      </c>
      <c r="H332" s="11" t="s">
        <v>279</v>
      </c>
      <c r="I332" s="17" t="s">
        <v>138</v>
      </c>
      <c r="J332" s="17">
        <v>17.026602590993999</v>
      </c>
      <c r="K332" s="17">
        <v>-97.664442783793007</v>
      </c>
      <c r="L332" s="17" t="str">
        <f>HYPERLINK("https://maps.google.com/?q=17.026602590994,-97.664442783793", "🔗 Ver Mapa")</f>
        <v>🔗 Ver Mapa</v>
      </c>
    </row>
    <row r="333" spans="1:12" ht="43.5" x14ac:dyDescent="0.35">
      <c r="A333" s="5" t="s">
        <v>270</v>
      </c>
      <c r="B333" s="5" t="s">
        <v>271</v>
      </c>
      <c r="C333" s="5" t="s">
        <v>278</v>
      </c>
      <c r="D333" s="8" t="s">
        <v>273</v>
      </c>
      <c r="E333" s="16" t="s">
        <v>73</v>
      </c>
      <c r="F333" s="16" t="s">
        <v>83</v>
      </c>
      <c r="G333" s="8" t="s">
        <v>274</v>
      </c>
      <c r="H333" s="8" t="s">
        <v>279</v>
      </c>
      <c r="I333" s="16" t="s">
        <v>138</v>
      </c>
      <c r="J333" s="16">
        <v>17.027264268195999</v>
      </c>
      <c r="K333" s="16">
        <v>-97.665507620772004</v>
      </c>
      <c r="L333" s="16" t="str">
        <f>HYPERLINK("https://maps.google.com/?q=17.027264268196,-97.665507620772", "🔗 Ver Mapa")</f>
        <v>🔗 Ver Mapa</v>
      </c>
    </row>
    <row r="334" spans="1:12" ht="43.5" x14ac:dyDescent="0.35">
      <c r="A334" s="6" t="s">
        <v>270</v>
      </c>
      <c r="B334" s="6" t="s">
        <v>271</v>
      </c>
      <c r="C334" s="6" t="s">
        <v>278</v>
      </c>
      <c r="D334" s="11" t="s">
        <v>273</v>
      </c>
      <c r="E334" s="17" t="s">
        <v>73</v>
      </c>
      <c r="F334" s="17" t="s">
        <v>83</v>
      </c>
      <c r="G334" s="11" t="s">
        <v>274</v>
      </c>
      <c r="H334" s="11" t="s">
        <v>279</v>
      </c>
      <c r="I334" s="17" t="s">
        <v>138</v>
      </c>
      <c r="J334" s="17">
        <v>17.027718208179</v>
      </c>
      <c r="K334" s="17">
        <v>-97.665220624406999</v>
      </c>
      <c r="L334" s="17" t="str">
        <f>HYPERLINK("https://maps.google.com/?q=17.027718208179,-97.665220624407", "🔗 Ver Mapa")</f>
        <v>🔗 Ver Mapa</v>
      </c>
    </row>
    <row r="335" spans="1:12" ht="43.5" x14ac:dyDescent="0.35">
      <c r="A335" s="5" t="s">
        <v>270</v>
      </c>
      <c r="B335" s="5" t="s">
        <v>271</v>
      </c>
      <c r="C335" s="5" t="s">
        <v>278</v>
      </c>
      <c r="D335" s="8" t="s">
        <v>273</v>
      </c>
      <c r="E335" s="16" t="s">
        <v>73</v>
      </c>
      <c r="F335" s="16" t="s">
        <v>83</v>
      </c>
      <c r="G335" s="8" t="s">
        <v>274</v>
      </c>
      <c r="H335" s="8" t="s">
        <v>279</v>
      </c>
      <c r="I335" s="16" t="s">
        <v>138</v>
      </c>
      <c r="J335" s="16">
        <v>17.027841310357001</v>
      </c>
      <c r="K335" s="16">
        <v>-97.663973397215997</v>
      </c>
      <c r="L335" s="16" t="str">
        <f>HYPERLINK("https://maps.google.com/?q=17.027841310357,-97.663973397216", "🔗 Ver Mapa")</f>
        <v>🔗 Ver Mapa</v>
      </c>
    </row>
    <row r="336" spans="1:12" ht="43.5" x14ac:dyDescent="0.35">
      <c r="A336" s="6" t="s">
        <v>270</v>
      </c>
      <c r="B336" s="6" t="s">
        <v>271</v>
      </c>
      <c r="C336" s="6" t="s">
        <v>280</v>
      </c>
      <c r="D336" s="11" t="s">
        <v>273</v>
      </c>
      <c r="E336" s="17" t="s">
        <v>73</v>
      </c>
      <c r="F336" s="17" t="s">
        <v>83</v>
      </c>
      <c r="G336" s="11" t="s">
        <v>274</v>
      </c>
      <c r="H336" s="11" t="s">
        <v>281</v>
      </c>
      <c r="I336" s="17" t="s">
        <v>138</v>
      </c>
      <c r="J336" s="17">
        <v>16.977566871918</v>
      </c>
      <c r="K336" s="17">
        <v>-97.638918978635999</v>
      </c>
      <c r="L336" s="17" t="str">
        <f>HYPERLINK("https://maps.google.com/?q=16.977566871918,-97.638918978636", "🔗 Ver Mapa")</f>
        <v>🔗 Ver Mapa</v>
      </c>
    </row>
    <row r="337" spans="1:12" ht="43.5" x14ac:dyDescent="0.35">
      <c r="A337" s="5" t="s">
        <v>270</v>
      </c>
      <c r="B337" s="5" t="s">
        <v>271</v>
      </c>
      <c r="C337" s="5" t="s">
        <v>280</v>
      </c>
      <c r="D337" s="8" t="s">
        <v>273</v>
      </c>
      <c r="E337" s="16" t="s">
        <v>73</v>
      </c>
      <c r="F337" s="16" t="s">
        <v>83</v>
      </c>
      <c r="G337" s="8" t="s">
        <v>274</v>
      </c>
      <c r="H337" s="8" t="s">
        <v>281</v>
      </c>
      <c r="I337" s="16" t="s">
        <v>138</v>
      </c>
      <c r="J337" s="16">
        <v>16.977602786338998</v>
      </c>
      <c r="K337" s="16">
        <v>-97.639087957803</v>
      </c>
      <c r="L337" s="16" t="str">
        <f>HYPERLINK("https://maps.google.com/?q=16.977602786339,-97.639087957803", "🔗 Ver Mapa")</f>
        <v>🔗 Ver Mapa</v>
      </c>
    </row>
    <row r="338" spans="1:12" ht="43.5" x14ac:dyDescent="0.35">
      <c r="A338" s="6" t="s">
        <v>270</v>
      </c>
      <c r="B338" s="6" t="s">
        <v>271</v>
      </c>
      <c r="C338" s="6" t="s">
        <v>280</v>
      </c>
      <c r="D338" s="11" t="s">
        <v>273</v>
      </c>
      <c r="E338" s="17" t="s">
        <v>73</v>
      </c>
      <c r="F338" s="17" t="s">
        <v>83</v>
      </c>
      <c r="G338" s="11" t="s">
        <v>274</v>
      </c>
      <c r="H338" s="11" t="s">
        <v>281</v>
      </c>
      <c r="I338" s="17" t="s">
        <v>138</v>
      </c>
      <c r="J338" s="17">
        <v>16.978273745736999</v>
      </c>
      <c r="K338" s="17">
        <v>-97.641033607324999</v>
      </c>
      <c r="L338" s="17" t="str">
        <f>HYPERLINK("https://maps.google.com/?q=16.978273745737,-97.641033607325", "🔗 Ver Mapa")</f>
        <v>🔗 Ver Mapa</v>
      </c>
    </row>
    <row r="339" spans="1:12" ht="43.5" x14ac:dyDescent="0.35">
      <c r="A339" s="5" t="s">
        <v>270</v>
      </c>
      <c r="B339" s="5" t="s">
        <v>271</v>
      </c>
      <c r="C339" s="5" t="s">
        <v>280</v>
      </c>
      <c r="D339" s="8" t="s">
        <v>273</v>
      </c>
      <c r="E339" s="16" t="s">
        <v>73</v>
      </c>
      <c r="F339" s="16" t="s">
        <v>83</v>
      </c>
      <c r="G339" s="8" t="s">
        <v>274</v>
      </c>
      <c r="H339" s="8" t="s">
        <v>281</v>
      </c>
      <c r="I339" s="16" t="s">
        <v>138</v>
      </c>
      <c r="J339" s="16">
        <v>16.978639170975999</v>
      </c>
      <c r="K339" s="16">
        <v>-97.638586384717996</v>
      </c>
      <c r="L339" s="16" t="str">
        <f>HYPERLINK("https://maps.google.com/?q=16.978639170976,-97.638586384718", "🔗 Ver Mapa")</f>
        <v>🔗 Ver Mapa</v>
      </c>
    </row>
    <row r="340" spans="1:12" ht="43.5" x14ac:dyDescent="0.35">
      <c r="A340" s="6" t="s">
        <v>270</v>
      </c>
      <c r="B340" s="6" t="s">
        <v>271</v>
      </c>
      <c r="C340" s="6" t="s">
        <v>280</v>
      </c>
      <c r="D340" s="11" t="s">
        <v>273</v>
      </c>
      <c r="E340" s="17" t="s">
        <v>73</v>
      </c>
      <c r="F340" s="17" t="s">
        <v>83</v>
      </c>
      <c r="G340" s="11" t="s">
        <v>274</v>
      </c>
      <c r="H340" s="11" t="s">
        <v>281</v>
      </c>
      <c r="I340" s="17" t="s">
        <v>138</v>
      </c>
      <c r="J340" s="17">
        <v>16.978900831537999</v>
      </c>
      <c r="K340" s="17">
        <v>-97.639369589750004</v>
      </c>
      <c r="L340" s="17" t="str">
        <f>HYPERLINK("https://maps.google.com/?q=16.978900831538,-97.63936958975", "🔗 Ver Mapa")</f>
        <v>🔗 Ver Mapa</v>
      </c>
    </row>
    <row r="341" spans="1:12" ht="43.5" x14ac:dyDescent="0.35">
      <c r="A341" s="5" t="s">
        <v>270</v>
      </c>
      <c r="B341" s="5" t="s">
        <v>271</v>
      </c>
      <c r="C341" s="5" t="s">
        <v>280</v>
      </c>
      <c r="D341" s="8" t="s">
        <v>273</v>
      </c>
      <c r="E341" s="16" t="s">
        <v>73</v>
      </c>
      <c r="F341" s="16" t="s">
        <v>83</v>
      </c>
      <c r="G341" s="8" t="s">
        <v>274</v>
      </c>
      <c r="H341" s="8" t="s">
        <v>281</v>
      </c>
      <c r="I341" s="16" t="s">
        <v>138</v>
      </c>
      <c r="J341" s="16">
        <v>16.979285627172999</v>
      </c>
      <c r="K341" s="16">
        <v>-97.639951625126002</v>
      </c>
      <c r="L341" s="16" t="str">
        <f>HYPERLINK("https://maps.google.com/?q=16.979285627173,-97.639951625126", "🔗 Ver Mapa")</f>
        <v>🔗 Ver Mapa</v>
      </c>
    </row>
    <row r="342" spans="1:12" ht="43.5" x14ac:dyDescent="0.35">
      <c r="A342" s="6" t="s">
        <v>270</v>
      </c>
      <c r="B342" s="6" t="s">
        <v>271</v>
      </c>
      <c r="C342" s="6" t="s">
        <v>280</v>
      </c>
      <c r="D342" s="11" t="s">
        <v>273</v>
      </c>
      <c r="E342" s="17" t="s">
        <v>73</v>
      </c>
      <c r="F342" s="17" t="s">
        <v>83</v>
      </c>
      <c r="G342" s="11" t="s">
        <v>274</v>
      </c>
      <c r="H342" s="11" t="s">
        <v>281</v>
      </c>
      <c r="I342" s="17" t="s">
        <v>138</v>
      </c>
      <c r="J342" s="17">
        <v>16.979957731273998</v>
      </c>
      <c r="K342" s="17">
        <v>-97.638986033861002</v>
      </c>
      <c r="L342" s="17" t="str">
        <f>HYPERLINK("https://maps.google.com/?q=16.979957731274,-97.638986033861", "🔗 Ver Mapa")</f>
        <v>🔗 Ver Mapa</v>
      </c>
    </row>
    <row r="343" spans="1:12" ht="43.5" x14ac:dyDescent="0.35">
      <c r="A343" s="5" t="s">
        <v>270</v>
      </c>
      <c r="B343" s="5" t="s">
        <v>271</v>
      </c>
      <c r="C343" s="5" t="s">
        <v>282</v>
      </c>
      <c r="D343" s="8" t="s">
        <v>273</v>
      </c>
      <c r="E343" s="16" t="s">
        <v>73</v>
      </c>
      <c r="F343" s="16" t="s">
        <v>83</v>
      </c>
      <c r="G343" s="8" t="s">
        <v>274</v>
      </c>
      <c r="H343" s="8" t="s">
        <v>283</v>
      </c>
      <c r="I343" s="16" t="s">
        <v>138</v>
      </c>
      <c r="J343" s="16">
        <v>16.986121654041</v>
      </c>
      <c r="K343" s="16">
        <v>-97.656841271692002</v>
      </c>
      <c r="L343" s="16" t="str">
        <f>HYPERLINK("https://maps.google.com/?q=16.986121654041,-97.656841271692", "🔗 Ver Mapa")</f>
        <v>🔗 Ver Mapa</v>
      </c>
    </row>
    <row r="344" spans="1:12" ht="43.5" x14ac:dyDescent="0.35">
      <c r="A344" s="6" t="s">
        <v>270</v>
      </c>
      <c r="B344" s="6" t="s">
        <v>271</v>
      </c>
      <c r="C344" s="6" t="s">
        <v>282</v>
      </c>
      <c r="D344" s="11" t="s">
        <v>273</v>
      </c>
      <c r="E344" s="17" t="s">
        <v>73</v>
      </c>
      <c r="F344" s="17" t="s">
        <v>83</v>
      </c>
      <c r="G344" s="11" t="s">
        <v>274</v>
      </c>
      <c r="H344" s="11" t="s">
        <v>283</v>
      </c>
      <c r="I344" s="17" t="s">
        <v>138</v>
      </c>
      <c r="J344" s="17">
        <v>16.986262739939001</v>
      </c>
      <c r="K344" s="17">
        <v>-97.656170719439004</v>
      </c>
      <c r="L344" s="17" t="str">
        <f>HYPERLINK("https://maps.google.com/?q=16.986262739939,-97.656170719439", "🔗 Ver Mapa")</f>
        <v>🔗 Ver Mapa</v>
      </c>
    </row>
    <row r="345" spans="1:12" ht="43.5" x14ac:dyDescent="0.35">
      <c r="A345" s="5" t="s">
        <v>270</v>
      </c>
      <c r="B345" s="5" t="s">
        <v>271</v>
      </c>
      <c r="C345" s="5" t="s">
        <v>282</v>
      </c>
      <c r="D345" s="8" t="s">
        <v>273</v>
      </c>
      <c r="E345" s="16" t="s">
        <v>73</v>
      </c>
      <c r="F345" s="16" t="s">
        <v>83</v>
      </c>
      <c r="G345" s="8" t="s">
        <v>274</v>
      </c>
      <c r="H345" s="8" t="s">
        <v>283</v>
      </c>
      <c r="I345" s="16" t="s">
        <v>138</v>
      </c>
      <c r="J345" s="16">
        <v>16.986267870332998</v>
      </c>
      <c r="K345" s="16">
        <v>-97.656699114614995</v>
      </c>
      <c r="L345" s="16" t="str">
        <f>HYPERLINK("https://maps.google.com/?q=16.986267870333,-97.656699114615", "🔗 Ver Mapa")</f>
        <v>🔗 Ver Mapa</v>
      </c>
    </row>
    <row r="346" spans="1:12" ht="43.5" x14ac:dyDescent="0.35">
      <c r="A346" s="6" t="s">
        <v>270</v>
      </c>
      <c r="B346" s="6" t="s">
        <v>271</v>
      </c>
      <c r="C346" s="6" t="s">
        <v>282</v>
      </c>
      <c r="D346" s="11" t="s">
        <v>273</v>
      </c>
      <c r="E346" s="17" t="s">
        <v>73</v>
      </c>
      <c r="F346" s="17" t="s">
        <v>83</v>
      </c>
      <c r="G346" s="11" t="s">
        <v>274</v>
      </c>
      <c r="H346" s="11" t="s">
        <v>283</v>
      </c>
      <c r="I346" s="17" t="s">
        <v>138</v>
      </c>
      <c r="J346" s="17">
        <v>16.986303783088999</v>
      </c>
      <c r="K346" s="17">
        <v>-97.657259696297999</v>
      </c>
      <c r="L346" s="17" t="str">
        <f>HYPERLINK("https://maps.google.com/?q=16.986303783089,-97.657259696298", "🔗 Ver Mapa")</f>
        <v>🔗 Ver Mapa</v>
      </c>
    </row>
    <row r="347" spans="1:12" ht="43.5" x14ac:dyDescent="0.35">
      <c r="A347" s="5" t="s">
        <v>270</v>
      </c>
      <c r="B347" s="5" t="s">
        <v>271</v>
      </c>
      <c r="C347" s="5" t="s">
        <v>282</v>
      </c>
      <c r="D347" s="8" t="s">
        <v>273</v>
      </c>
      <c r="E347" s="16" t="s">
        <v>73</v>
      </c>
      <c r="F347" s="16" t="s">
        <v>83</v>
      </c>
      <c r="G347" s="8" t="s">
        <v>274</v>
      </c>
      <c r="H347" s="8" t="s">
        <v>283</v>
      </c>
      <c r="I347" s="16" t="s">
        <v>138</v>
      </c>
      <c r="J347" s="16">
        <v>16.986410036199999</v>
      </c>
      <c r="K347" s="16">
        <v>-97.656563663621</v>
      </c>
      <c r="L347" s="16" t="str">
        <f>HYPERLINK("https://maps.google.com/?q=16.9864100362,-97.656563663621", "🔗 Ver Mapa")</f>
        <v>🔗 Ver Mapa</v>
      </c>
    </row>
    <row r="348" spans="1:12" ht="43.5" x14ac:dyDescent="0.35">
      <c r="A348" s="6" t="s">
        <v>270</v>
      </c>
      <c r="B348" s="6" t="s">
        <v>271</v>
      </c>
      <c r="C348" s="6" t="s">
        <v>282</v>
      </c>
      <c r="D348" s="11" t="s">
        <v>273</v>
      </c>
      <c r="E348" s="17" t="s">
        <v>73</v>
      </c>
      <c r="F348" s="17" t="s">
        <v>83</v>
      </c>
      <c r="G348" s="11" t="s">
        <v>274</v>
      </c>
      <c r="H348" s="11" t="s">
        <v>283</v>
      </c>
      <c r="I348" s="17" t="s">
        <v>138</v>
      </c>
      <c r="J348" s="17">
        <v>16.986438253345</v>
      </c>
      <c r="K348" s="17">
        <v>-97.656358474629997</v>
      </c>
      <c r="L348" s="17" t="str">
        <f>HYPERLINK("https://maps.google.com/?q=16.986438253345,-97.65635847463", "🔗 Ver Mapa")</f>
        <v>🔗 Ver Mapa</v>
      </c>
    </row>
    <row r="349" spans="1:12" ht="43.5" x14ac:dyDescent="0.35">
      <c r="A349" s="5" t="s">
        <v>270</v>
      </c>
      <c r="B349" s="5" t="s">
        <v>271</v>
      </c>
      <c r="C349" s="5" t="s">
        <v>282</v>
      </c>
      <c r="D349" s="8" t="s">
        <v>273</v>
      </c>
      <c r="E349" s="16" t="s">
        <v>73</v>
      </c>
      <c r="F349" s="16" t="s">
        <v>83</v>
      </c>
      <c r="G349" s="8" t="s">
        <v>274</v>
      </c>
      <c r="H349" s="8" t="s">
        <v>283</v>
      </c>
      <c r="I349" s="16" t="s">
        <v>138</v>
      </c>
      <c r="J349" s="16">
        <v>16.986555172189998</v>
      </c>
      <c r="K349" s="16">
        <v>-97.656540864283002</v>
      </c>
      <c r="L349" s="16" t="str">
        <f>HYPERLINK("https://maps.google.com/?q=16.98655517219,-97.656540864283", "🔗 Ver Mapa")</f>
        <v>🔗 Ver Mapa</v>
      </c>
    </row>
    <row r="350" spans="1:12" ht="43.5" x14ac:dyDescent="0.35">
      <c r="A350" s="6" t="s">
        <v>270</v>
      </c>
      <c r="B350" s="6" t="s">
        <v>271</v>
      </c>
      <c r="C350" s="6" t="s">
        <v>282</v>
      </c>
      <c r="D350" s="11" t="s">
        <v>273</v>
      </c>
      <c r="E350" s="17" t="s">
        <v>73</v>
      </c>
      <c r="F350" s="17" t="s">
        <v>83</v>
      </c>
      <c r="G350" s="11" t="s">
        <v>274</v>
      </c>
      <c r="H350" s="11" t="s">
        <v>283</v>
      </c>
      <c r="I350" s="17" t="s">
        <v>138</v>
      </c>
      <c r="J350" s="17">
        <v>16.987265729356</v>
      </c>
      <c r="K350" s="17">
        <v>-97.656471126848004</v>
      </c>
      <c r="L350" s="17" t="str">
        <f>HYPERLINK("https://maps.google.com/?q=16.987265729356,-97.656471126848", "🔗 Ver Mapa")</f>
        <v>🔗 Ver Mapa</v>
      </c>
    </row>
    <row r="351" spans="1:12" ht="43.5" x14ac:dyDescent="0.35">
      <c r="A351" s="5" t="s">
        <v>270</v>
      </c>
      <c r="B351" s="5" t="s">
        <v>271</v>
      </c>
      <c r="C351" s="5" t="s">
        <v>282</v>
      </c>
      <c r="D351" s="8" t="s">
        <v>273</v>
      </c>
      <c r="E351" s="16" t="s">
        <v>73</v>
      </c>
      <c r="F351" s="16" t="s">
        <v>83</v>
      </c>
      <c r="G351" s="8" t="s">
        <v>274</v>
      </c>
      <c r="H351" s="8" t="s">
        <v>283</v>
      </c>
      <c r="I351" s="16" t="s">
        <v>138</v>
      </c>
      <c r="J351" s="16">
        <v>16.987332424114001</v>
      </c>
      <c r="K351" s="16">
        <v>-97.656090253168003</v>
      </c>
      <c r="L351" s="16" t="str">
        <f>HYPERLINK("https://maps.google.com/?q=16.987332424114,-97.656090253168", "🔗 Ver Mapa")</f>
        <v>🔗 Ver Mapa</v>
      </c>
    </row>
    <row r="352" spans="1:12" ht="43.5" x14ac:dyDescent="0.35">
      <c r="A352" s="6" t="s">
        <v>270</v>
      </c>
      <c r="B352" s="6" t="s">
        <v>271</v>
      </c>
      <c r="C352" s="6" t="s">
        <v>284</v>
      </c>
      <c r="D352" s="11" t="s">
        <v>273</v>
      </c>
      <c r="E352" s="17" t="s">
        <v>73</v>
      </c>
      <c r="F352" s="17" t="s">
        <v>83</v>
      </c>
      <c r="G352" s="11" t="s">
        <v>274</v>
      </c>
      <c r="H352" s="11" t="s">
        <v>285</v>
      </c>
      <c r="I352" s="17" t="s">
        <v>138</v>
      </c>
      <c r="J352" s="17">
        <v>17.015903565639</v>
      </c>
      <c r="K352" s="17">
        <v>-97.660607857547006</v>
      </c>
      <c r="L352" s="17" t="str">
        <f>HYPERLINK("https://maps.google.com/?q=17.015903565639,-97.660607857547", "🔗 Ver Mapa")</f>
        <v>🔗 Ver Mapa</v>
      </c>
    </row>
    <row r="353" spans="1:12" ht="43.5" x14ac:dyDescent="0.35">
      <c r="A353" s="5" t="s">
        <v>270</v>
      </c>
      <c r="B353" s="5" t="s">
        <v>271</v>
      </c>
      <c r="C353" s="5" t="s">
        <v>284</v>
      </c>
      <c r="D353" s="8" t="s">
        <v>273</v>
      </c>
      <c r="E353" s="16" t="s">
        <v>73</v>
      </c>
      <c r="F353" s="16" t="s">
        <v>83</v>
      </c>
      <c r="G353" s="8" t="s">
        <v>274</v>
      </c>
      <c r="H353" s="8" t="s">
        <v>285</v>
      </c>
      <c r="I353" s="16" t="s">
        <v>138</v>
      </c>
      <c r="J353" s="16">
        <v>17.016731991450001</v>
      </c>
      <c r="K353" s="16">
        <v>-97.661289138637002</v>
      </c>
      <c r="L353" s="16" t="str">
        <f>HYPERLINK("https://maps.google.com/?q=17.01673199145,-97.661289138637", "🔗 Ver Mapa")</f>
        <v>🔗 Ver Mapa</v>
      </c>
    </row>
    <row r="354" spans="1:12" ht="43.5" x14ac:dyDescent="0.35">
      <c r="A354" s="6" t="s">
        <v>270</v>
      </c>
      <c r="B354" s="6" t="s">
        <v>271</v>
      </c>
      <c r="C354" s="6" t="s">
        <v>284</v>
      </c>
      <c r="D354" s="11" t="s">
        <v>273</v>
      </c>
      <c r="E354" s="17" t="s">
        <v>73</v>
      </c>
      <c r="F354" s="17" t="s">
        <v>83</v>
      </c>
      <c r="G354" s="11" t="s">
        <v>274</v>
      </c>
      <c r="H354" s="11" t="s">
        <v>285</v>
      </c>
      <c r="I354" s="17" t="s">
        <v>138</v>
      </c>
      <c r="J354" s="17">
        <v>17.017309066087002</v>
      </c>
      <c r="K354" s="17">
        <v>-97.659569842658001</v>
      </c>
      <c r="L354" s="17" t="str">
        <f>HYPERLINK("https://maps.google.com/?q=17.017309066087,-97.659569842658", "🔗 Ver Mapa")</f>
        <v>🔗 Ver Mapa</v>
      </c>
    </row>
    <row r="355" spans="1:12" ht="43.5" x14ac:dyDescent="0.35">
      <c r="A355" s="5" t="s">
        <v>270</v>
      </c>
      <c r="B355" s="5" t="s">
        <v>271</v>
      </c>
      <c r="C355" s="5" t="s">
        <v>284</v>
      </c>
      <c r="D355" s="8" t="s">
        <v>273</v>
      </c>
      <c r="E355" s="16" t="s">
        <v>73</v>
      </c>
      <c r="F355" s="16" t="s">
        <v>83</v>
      </c>
      <c r="G355" s="8" t="s">
        <v>274</v>
      </c>
      <c r="H355" s="8" t="s">
        <v>285</v>
      </c>
      <c r="I355" s="16" t="s">
        <v>138</v>
      </c>
      <c r="J355" s="16">
        <v>17.017319325176</v>
      </c>
      <c r="K355" s="16">
        <v>-97.660058004698001</v>
      </c>
      <c r="L355" s="16" t="str">
        <f>HYPERLINK("https://maps.google.com/?q=17.017319325176,-97.660058004698", "🔗 Ver Mapa")</f>
        <v>🔗 Ver Mapa</v>
      </c>
    </row>
    <row r="356" spans="1:12" ht="43.5" x14ac:dyDescent="0.35">
      <c r="A356" s="6" t="s">
        <v>270</v>
      </c>
      <c r="B356" s="6" t="s">
        <v>271</v>
      </c>
      <c r="C356" s="6" t="s">
        <v>284</v>
      </c>
      <c r="D356" s="11" t="s">
        <v>273</v>
      </c>
      <c r="E356" s="17" t="s">
        <v>73</v>
      </c>
      <c r="F356" s="17" t="s">
        <v>83</v>
      </c>
      <c r="G356" s="11" t="s">
        <v>274</v>
      </c>
      <c r="H356" s="11" t="s">
        <v>285</v>
      </c>
      <c r="I356" s="17" t="s">
        <v>138</v>
      </c>
      <c r="J356" s="17">
        <v>17.017471929052</v>
      </c>
      <c r="K356" s="17">
        <v>-97.663676304659006</v>
      </c>
      <c r="L356" s="17" t="str">
        <f>HYPERLINK("https://maps.google.com/?q=17.017471929052,-97.663676304659", "🔗 Ver Mapa")</f>
        <v>🔗 Ver Mapa</v>
      </c>
    </row>
    <row r="357" spans="1:12" ht="43.5" x14ac:dyDescent="0.35">
      <c r="A357" s="5" t="s">
        <v>270</v>
      </c>
      <c r="B357" s="5" t="s">
        <v>271</v>
      </c>
      <c r="C357" s="5" t="s">
        <v>284</v>
      </c>
      <c r="D357" s="8" t="s">
        <v>273</v>
      </c>
      <c r="E357" s="16" t="s">
        <v>73</v>
      </c>
      <c r="F357" s="16" t="s">
        <v>83</v>
      </c>
      <c r="G357" s="8" t="s">
        <v>274</v>
      </c>
      <c r="H357" s="8" t="s">
        <v>285</v>
      </c>
      <c r="I357" s="16" t="s">
        <v>138</v>
      </c>
      <c r="J357" s="16">
        <v>17.017503988674001</v>
      </c>
      <c r="K357" s="16">
        <v>-97.661464823326995</v>
      </c>
      <c r="L357" s="16" t="str">
        <f>HYPERLINK("https://maps.google.com/?q=17.017503988674,-97.661464823327", "🔗 Ver Mapa")</f>
        <v>🔗 Ver Mapa</v>
      </c>
    </row>
    <row r="358" spans="1:12" ht="43.5" x14ac:dyDescent="0.35">
      <c r="A358" s="6" t="s">
        <v>270</v>
      </c>
      <c r="B358" s="6" t="s">
        <v>271</v>
      </c>
      <c r="C358" s="6" t="s">
        <v>284</v>
      </c>
      <c r="D358" s="11" t="s">
        <v>273</v>
      </c>
      <c r="E358" s="17" t="s">
        <v>73</v>
      </c>
      <c r="F358" s="17" t="s">
        <v>83</v>
      </c>
      <c r="G358" s="11" t="s">
        <v>274</v>
      </c>
      <c r="H358" s="11" t="s">
        <v>285</v>
      </c>
      <c r="I358" s="17" t="s">
        <v>138</v>
      </c>
      <c r="J358" s="17">
        <v>17.019306893966</v>
      </c>
      <c r="K358" s="17">
        <v>-97.660104623750001</v>
      </c>
      <c r="L358" s="17" t="str">
        <f>HYPERLINK("https://maps.google.com/?q=17.019306893966,-97.66010462375", "🔗 Ver Mapa")</f>
        <v>🔗 Ver Mapa</v>
      </c>
    </row>
    <row r="359" spans="1:12" ht="43.5" x14ac:dyDescent="0.35">
      <c r="A359" s="5" t="s">
        <v>270</v>
      </c>
      <c r="B359" s="5" t="s">
        <v>271</v>
      </c>
      <c r="C359" s="5" t="s">
        <v>284</v>
      </c>
      <c r="D359" s="8" t="s">
        <v>273</v>
      </c>
      <c r="E359" s="16" t="s">
        <v>73</v>
      </c>
      <c r="F359" s="16" t="s">
        <v>83</v>
      </c>
      <c r="G359" s="8" t="s">
        <v>274</v>
      </c>
      <c r="H359" s="8" t="s">
        <v>285</v>
      </c>
      <c r="I359" s="16" t="s">
        <v>138</v>
      </c>
      <c r="J359" s="16">
        <v>17.020329753319</v>
      </c>
      <c r="K359" s="16">
        <v>-97.664932736721994</v>
      </c>
      <c r="L359" s="16" t="str">
        <f>HYPERLINK("https://maps.google.com/?q=17.020329753319,-97.664932736722", "🔗 Ver Mapa")</f>
        <v>🔗 Ver Mapa</v>
      </c>
    </row>
    <row r="360" spans="1:12" ht="43.5" x14ac:dyDescent="0.35">
      <c r="A360" s="6" t="s">
        <v>270</v>
      </c>
      <c r="B360" s="6" t="s">
        <v>271</v>
      </c>
      <c r="C360" s="6" t="s">
        <v>284</v>
      </c>
      <c r="D360" s="11" t="s">
        <v>273</v>
      </c>
      <c r="E360" s="17" t="s">
        <v>73</v>
      </c>
      <c r="F360" s="17" t="s">
        <v>83</v>
      </c>
      <c r="G360" s="11" t="s">
        <v>274</v>
      </c>
      <c r="H360" s="11" t="s">
        <v>285</v>
      </c>
      <c r="I360" s="17" t="s">
        <v>138</v>
      </c>
      <c r="J360" s="17">
        <v>17.020563733730999</v>
      </c>
      <c r="K360" s="17">
        <v>-97.663972688756004</v>
      </c>
      <c r="L360" s="17" t="str">
        <f>HYPERLINK("https://maps.google.com/?q=17.020563733731,-97.663972688756", "🔗 Ver Mapa")</f>
        <v>🔗 Ver Mapa</v>
      </c>
    </row>
    <row r="361" spans="1:12" ht="43.5" x14ac:dyDescent="0.35">
      <c r="A361" s="5" t="s">
        <v>270</v>
      </c>
      <c r="B361" s="5" t="s">
        <v>271</v>
      </c>
      <c r="C361" s="5" t="s">
        <v>284</v>
      </c>
      <c r="D361" s="8" t="s">
        <v>273</v>
      </c>
      <c r="E361" s="16" t="s">
        <v>73</v>
      </c>
      <c r="F361" s="16" t="s">
        <v>83</v>
      </c>
      <c r="G361" s="8" t="s">
        <v>274</v>
      </c>
      <c r="H361" s="8" t="s">
        <v>285</v>
      </c>
      <c r="I361" s="16" t="s">
        <v>138</v>
      </c>
      <c r="J361" s="16">
        <v>17.021599761809</v>
      </c>
      <c r="K361" s="16">
        <v>-97.660708120779006</v>
      </c>
      <c r="L361" s="16" t="str">
        <f>HYPERLINK("https://maps.google.com/?q=17.021599761809,-97.660708120779", "🔗 Ver Mapa")</f>
        <v>🔗 Ver Mapa</v>
      </c>
    </row>
    <row r="362" spans="1:12" ht="58" x14ac:dyDescent="0.35">
      <c r="A362" s="6" t="s">
        <v>1</v>
      </c>
      <c r="B362" s="6" t="s">
        <v>14</v>
      </c>
      <c r="C362" s="6" t="s">
        <v>286</v>
      </c>
      <c r="D362" s="11" t="s">
        <v>61</v>
      </c>
      <c r="E362" s="17" t="s">
        <v>287</v>
      </c>
      <c r="F362" s="17" t="s">
        <v>288</v>
      </c>
      <c r="G362" s="11" t="s">
        <v>289</v>
      </c>
      <c r="H362" s="11" t="s">
        <v>290</v>
      </c>
      <c r="I362" s="17" t="s">
        <v>138</v>
      </c>
      <c r="J362" s="17">
        <v>18.185380818300999</v>
      </c>
      <c r="K362" s="17">
        <v>-96.588384727703996</v>
      </c>
      <c r="L362" s="17" t="str">
        <f>HYPERLINK("https://maps.google.com/?q=18.185380818301,-96.588384727704", "🔗 Ver Mapa")</f>
        <v>🔗 Ver Mapa</v>
      </c>
    </row>
    <row r="363" spans="1:12" ht="43.5" x14ac:dyDescent="0.35">
      <c r="A363" s="5" t="s">
        <v>291</v>
      </c>
      <c r="B363" s="5" t="s">
        <v>292</v>
      </c>
      <c r="C363" s="5" t="s">
        <v>293</v>
      </c>
      <c r="D363" s="8" t="s">
        <v>294</v>
      </c>
      <c r="E363" s="16" t="s">
        <v>75</v>
      </c>
      <c r="F363" s="16" t="s">
        <v>86</v>
      </c>
      <c r="G363" s="8" t="s">
        <v>112</v>
      </c>
      <c r="H363" s="8" t="s">
        <v>295</v>
      </c>
      <c r="I363" s="16" t="s">
        <v>296</v>
      </c>
      <c r="J363" s="16">
        <v>17.040573999999999</v>
      </c>
      <c r="K363" s="16">
        <v>-96.728166999999999</v>
      </c>
      <c r="L363" s="16" t="str">
        <f>HYPERLINK("https://maps.google.com/?q=17.040574,-96.728167", "🔗 Ver Mapa")</f>
        <v>🔗 Ver Mapa</v>
      </c>
    </row>
    <row r="364" spans="1:12" ht="43.5" x14ac:dyDescent="0.35">
      <c r="A364" s="6" t="s">
        <v>291</v>
      </c>
      <c r="B364" s="6" t="s">
        <v>292</v>
      </c>
      <c r="C364" s="6" t="s">
        <v>293</v>
      </c>
      <c r="D364" s="11" t="s">
        <v>294</v>
      </c>
      <c r="E364" s="17" t="s">
        <v>75</v>
      </c>
      <c r="F364" s="17" t="s">
        <v>86</v>
      </c>
      <c r="G364" s="11" t="s">
        <v>112</v>
      </c>
      <c r="H364" s="11" t="s">
        <v>295</v>
      </c>
      <c r="I364" s="17" t="s">
        <v>296</v>
      </c>
      <c r="J364" s="17">
        <v>17.040770999999999</v>
      </c>
      <c r="K364" s="17">
        <v>-96.728722000000005</v>
      </c>
      <c r="L364" s="17" t="str">
        <f>HYPERLINK("https://maps.google.com/?q=17.040771,-96.728722", "🔗 Ver Mapa")</f>
        <v>🔗 Ver Mapa</v>
      </c>
    </row>
    <row r="365" spans="1:12" ht="43.5" x14ac:dyDescent="0.35">
      <c r="A365" s="5" t="s">
        <v>291</v>
      </c>
      <c r="B365" s="5" t="s">
        <v>292</v>
      </c>
      <c r="C365" s="5" t="s">
        <v>293</v>
      </c>
      <c r="D365" s="8" t="s">
        <v>294</v>
      </c>
      <c r="E365" s="16" t="s">
        <v>75</v>
      </c>
      <c r="F365" s="16" t="s">
        <v>86</v>
      </c>
      <c r="G365" s="8" t="s">
        <v>112</v>
      </c>
      <c r="H365" s="8" t="s">
        <v>295</v>
      </c>
      <c r="I365" s="16" t="s">
        <v>296</v>
      </c>
      <c r="J365" s="16">
        <v>17.040780999999999</v>
      </c>
      <c r="K365" s="16">
        <v>-96.728071</v>
      </c>
      <c r="L365" s="16" t="str">
        <f>HYPERLINK("https://maps.google.com/?q=17.040781,-96.728071", "🔗 Ver Mapa")</f>
        <v>🔗 Ver Mapa</v>
      </c>
    </row>
    <row r="366" spans="1:12" ht="43.5" x14ac:dyDescent="0.35">
      <c r="A366" s="6" t="s">
        <v>291</v>
      </c>
      <c r="B366" s="6" t="s">
        <v>292</v>
      </c>
      <c r="C366" s="6" t="s">
        <v>293</v>
      </c>
      <c r="D366" s="11" t="s">
        <v>294</v>
      </c>
      <c r="E366" s="17" t="s">
        <v>75</v>
      </c>
      <c r="F366" s="17" t="s">
        <v>86</v>
      </c>
      <c r="G366" s="11" t="s">
        <v>112</v>
      </c>
      <c r="H366" s="11" t="s">
        <v>295</v>
      </c>
      <c r="I366" s="17" t="s">
        <v>296</v>
      </c>
      <c r="J366" s="17">
        <v>17.040987000000001</v>
      </c>
      <c r="K366" s="17">
        <v>-96.728744000000006</v>
      </c>
      <c r="L366" s="17" t="str">
        <f>HYPERLINK("https://maps.google.com/?q=17.040987,-96.728744", "🔗 Ver Mapa")</f>
        <v>🔗 Ver Mapa</v>
      </c>
    </row>
    <row r="367" spans="1:12" ht="43.5" x14ac:dyDescent="0.35">
      <c r="A367" s="5" t="s">
        <v>291</v>
      </c>
      <c r="B367" s="5" t="s">
        <v>292</v>
      </c>
      <c r="C367" s="5" t="s">
        <v>293</v>
      </c>
      <c r="D367" s="8" t="s">
        <v>294</v>
      </c>
      <c r="E367" s="16" t="s">
        <v>75</v>
      </c>
      <c r="F367" s="16" t="s">
        <v>86</v>
      </c>
      <c r="G367" s="8" t="s">
        <v>112</v>
      </c>
      <c r="H367" s="8" t="s">
        <v>295</v>
      </c>
      <c r="I367" s="16" t="s">
        <v>296</v>
      </c>
      <c r="J367" s="16">
        <v>17.041149000000001</v>
      </c>
      <c r="K367" s="16">
        <v>-96.727935000000002</v>
      </c>
      <c r="L367" s="16" t="str">
        <f>HYPERLINK("https://maps.google.com/?q=17.041149,-96.727935", "🔗 Ver Mapa")</f>
        <v>🔗 Ver Mapa</v>
      </c>
    </row>
    <row r="368" spans="1:12" ht="43.5" x14ac:dyDescent="0.35">
      <c r="A368" s="6" t="s">
        <v>291</v>
      </c>
      <c r="B368" s="6" t="s">
        <v>292</v>
      </c>
      <c r="C368" s="6" t="s">
        <v>293</v>
      </c>
      <c r="D368" s="11" t="s">
        <v>294</v>
      </c>
      <c r="E368" s="17" t="s">
        <v>75</v>
      </c>
      <c r="F368" s="17" t="s">
        <v>86</v>
      </c>
      <c r="G368" s="11" t="s">
        <v>112</v>
      </c>
      <c r="H368" s="11" t="s">
        <v>295</v>
      </c>
      <c r="I368" s="17" t="s">
        <v>296</v>
      </c>
      <c r="J368" s="17">
        <v>17.041156999999998</v>
      </c>
      <c r="K368" s="17">
        <v>-96.727830999999995</v>
      </c>
      <c r="L368" s="17" t="str">
        <f>HYPERLINK("https://maps.google.com/?q=17.041157,-96.727831", "🔗 Ver Mapa")</f>
        <v>🔗 Ver Mapa</v>
      </c>
    </row>
    <row r="369" spans="1:12" ht="43.5" x14ac:dyDescent="0.35">
      <c r="A369" s="5" t="s">
        <v>291</v>
      </c>
      <c r="B369" s="5" t="s">
        <v>292</v>
      </c>
      <c r="C369" s="5" t="s">
        <v>293</v>
      </c>
      <c r="D369" s="8" t="s">
        <v>294</v>
      </c>
      <c r="E369" s="16" t="s">
        <v>75</v>
      </c>
      <c r="F369" s="16" t="s">
        <v>86</v>
      </c>
      <c r="G369" s="8" t="s">
        <v>112</v>
      </c>
      <c r="H369" s="8" t="s">
        <v>295</v>
      </c>
      <c r="I369" s="16" t="s">
        <v>296</v>
      </c>
      <c r="J369" s="16">
        <v>17.041184999999999</v>
      </c>
      <c r="K369" s="16">
        <v>-96.727924999999999</v>
      </c>
      <c r="L369" s="16" t="str">
        <f>HYPERLINK("https://maps.google.com/?q=17.041185,-96.727925", "🔗 Ver Mapa")</f>
        <v>🔗 Ver Mapa</v>
      </c>
    </row>
    <row r="370" spans="1:12" ht="43.5" x14ac:dyDescent="0.35">
      <c r="A370" s="6" t="s">
        <v>291</v>
      </c>
      <c r="B370" s="6" t="s">
        <v>292</v>
      </c>
      <c r="C370" s="6" t="s">
        <v>293</v>
      </c>
      <c r="D370" s="11" t="s">
        <v>294</v>
      </c>
      <c r="E370" s="17" t="s">
        <v>75</v>
      </c>
      <c r="F370" s="17" t="s">
        <v>86</v>
      </c>
      <c r="G370" s="11" t="s">
        <v>112</v>
      </c>
      <c r="H370" s="11" t="s">
        <v>295</v>
      </c>
      <c r="I370" s="17" t="s">
        <v>296</v>
      </c>
      <c r="J370" s="17">
        <v>17.041212000000002</v>
      </c>
      <c r="K370" s="17">
        <v>-96.727914999999996</v>
      </c>
      <c r="L370" s="17" t="str">
        <f>HYPERLINK("https://maps.google.com/?q=17.041212,-96.727915", "🔗 Ver Mapa")</f>
        <v>🔗 Ver Mapa</v>
      </c>
    </row>
    <row r="371" spans="1:12" ht="43.5" x14ac:dyDescent="0.35">
      <c r="A371" s="5" t="s">
        <v>291</v>
      </c>
      <c r="B371" s="5" t="s">
        <v>292</v>
      </c>
      <c r="C371" s="5" t="s">
        <v>293</v>
      </c>
      <c r="D371" s="8" t="s">
        <v>294</v>
      </c>
      <c r="E371" s="16" t="s">
        <v>75</v>
      </c>
      <c r="F371" s="16" t="s">
        <v>86</v>
      </c>
      <c r="G371" s="8" t="s">
        <v>112</v>
      </c>
      <c r="H371" s="8" t="s">
        <v>295</v>
      </c>
      <c r="I371" s="16" t="s">
        <v>296</v>
      </c>
      <c r="J371" s="16">
        <v>17.041231</v>
      </c>
      <c r="K371" s="16">
        <v>-96.727962000000005</v>
      </c>
      <c r="L371" s="16" t="str">
        <f>HYPERLINK("https://maps.google.com/?q=17.041231,-96.727962", "🔗 Ver Mapa")</f>
        <v>🔗 Ver Mapa</v>
      </c>
    </row>
    <row r="372" spans="1:12" ht="43.5" x14ac:dyDescent="0.35">
      <c r="A372" s="6" t="s">
        <v>291</v>
      </c>
      <c r="B372" s="6" t="s">
        <v>292</v>
      </c>
      <c r="C372" s="6" t="s">
        <v>293</v>
      </c>
      <c r="D372" s="11" t="s">
        <v>294</v>
      </c>
      <c r="E372" s="17" t="s">
        <v>75</v>
      </c>
      <c r="F372" s="17" t="s">
        <v>86</v>
      </c>
      <c r="G372" s="11" t="s">
        <v>112</v>
      </c>
      <c r="H372" s="11" t="s">
        <v>295</v>
      </c>
      <c r="I372" s="17" t="s">
        <v>296</v>
      </c>
      <c r="J372" s="17">
        <v>17.041248</v>
      </c>
      <c r="K372" s="17">
        <v>-96.727905000000007</v>
      </c>
      <c r="L372" s="17" t="str">
        <f>HYPERLINK("https://maps.google.com/?q=17.041248,-96.727905", "🔗 Ver Mapa")</f>
        <v>🔗 Ver Mapa</v>
      </c>
    </row>
    <row r="373" spans="1:12" ht="43.5" x14ac:dyDescent="0.35">
      <c r="A373" s="5" t="s">
        <v>291</v>
      </c>
      <c r="B373" s="5" t="s">
        <v>292</v>
      </c>
      <c r="C373" s="5" t="s">
        <v>293</v>
      </c>
      <c r="D373" s="8" t="s">
        <v>294</v>
      </c>
      <c r="E373" s="16" t="s">
        <v>75</v>
      </c>
      <c r="F373" s="16" t="s">
        <v>86</v>
      </c>
      <c r="G373" s="8" t="s">
        <v>112</v>
      </c>
      <c r="H373" s="8" t="s">
        <v>295</v>
      </c>
      <c r="I373" s="16" t="s">
        <v>296</v>
      </c>
      <c r="J373" s="16">
        <v>17.041257999999999</v>
      </c>
      <c r="K373" s="16">
        <v>-96.727952000000002</v>
      </c>
      <c r="L373" s="16" t="str">
        <f>HYPERLINK("https://maps.google.com/?q=17.041258,-96.727952", "🔗 Ver Mapa")</f>
        <v>🔗 Ver Mapa</v>
      </c>
    </row>
    <row r="374" spans="1:12" ht="43.5" x14ac:dyDescent="0.35">
      <c r="A374" s="6" t="s">
        <v>291</v>
      </c>
      <c r="B374" s="6" t="s">
        <v>292</v>
      </c>
      <c r="C374" s="6" t="s">
        <v>293</v>
      </c>
      <c r="D374" s="11" t="s">
        <v>294</v>
      </c>
      <c r="E374" s="17" t="s">
        <v>75</v>
      </c>
      <c r="F374" s="17" t="s">
        <v>86</v>
      </c>
      <c r="G374" s="11" t="s">
        <v>112</v>
      </c>
      <c r="H374" s="11" t="s">
        <v>295</v>
      </c>
      <c r="I374" s="17" t="s">
        <v>296</v>
      </c>
      <c r="J374" s="17">
        <v>17.041319999999999</v>
      </c>
      <c r="K374" s="17">
        <v>-96.727885999999998</v>
      </c>
      <c r="L374" s="17" t="str">
        <f>HYPERLINK("https://maps.google.com/?q=17.04132,-96.727886", "🔗 Ver Mapa")</f>
        <v>🔗 Ver Mapa</v>
      </c>
    </row>
    <row r="375" spans="1:12" ht="43.5" x14ac:dyDescent="0.35">
      <c r="A375" s="5" t="s">
        <v>291</v>
      </c>
      <c r="B375" s="5" t="s">
        <v>292</v>
      </c>
      <c r="C375" s="5" t="s">
        <v>293</v>
      </c>
      <c r="D375" s="8" t="s">
        <v>294</v>
      </c>
      <c r="E375" s="16" t="s">
        <v>75</v>
      </c>
      <c r="F375" s="16" t="s">
        <v>86</v>
      </c>
      <c r="G375" s="8" t="s">
        <v>112</v>
      </c>
      <c r="H375" s="8" t="s">
        <v>295</v>
      </c>
      <c r="I375" s="16" t="s">
        <v>296</v>
      </c>
      <c r="J375" s="16">
        <v>17.041528</v>
      </c>
      <c r="K375" s="16">
        <v>-96.727846</v>
      </c>
      <c r="L375" s="16" t="str">
        <f>HYPERLINK("https://maps.google.com/?q=17.041528,-96.727846", "🔗 Ver Mapa")</f>
        <v>🔗 Ver Mapa</v>
      </c>
    </row>
    <row r="376" spans="1:12" ht="43.5" x14ac:dyDescent="0.35">
      <c r="A376" s="6" t="s">
        <v>291</v>
      </c>
      <c r="B376" s="6" t="s">
        <v>292</v>
      </c>
      <c r="C376" s="6" t="s">
        <v>293</v>
      </c>
      <c r="D376" s="11" t="s">
        <v>294</v>
      </c>
      <c r="E376" s="17" t="s">
        <v>75</v>
      </c>
      <c r="F376" s="17" t="s">
        <v>86</v>
      </c>
      <c r="G376" s="11" t="s">
        <v>112</v>
      </c>
      <c r="H376" s="11" t="s">
        <v>295</v>
      </c>
      <c r="I376" s="17" t="s">
        <v>296</v>
      </c>
      <c r="J376" s="17">
        <v>17.041547999999999</v>
      </c>
      <c r="K376" s="17">
        <v>-96.728859999999997</v>
      </c>
      <c r="L376" s="17" t="str">
        <f>HYPERLINK("https://maps.google.com/?q=17.041548,-96.72886", "🔗 Ver Mapa")</f>
        <v>🔗 Ver Mapa</v>
      </c>
    </row>
    <row r="377" spans="1:12" ht="43.5" x14ac:dyDescent="0.35">
      <c r="A377" s="5" t="s">
        <v>291</v>
      </c>
      <c r="B377" s="5" t="s">
        <v>292</v>
      </c>
      <c r="C377" s="5" t="s">
        <v>293</v>
      </c>
      <c r="D377" s="8" t="s">
        <v>294</v>
      </c>
      <c r="E377" s="16" t="s">
        <v>75</v>
      </c>
      <c r="F377" s="16" t="s">
        <v>86</v>
      </c>
      <c r="G377" s="8" t="s">
        <v>112</v>
      </c>
      <c r="H377" s="8" t="s">
        <v>295</v>
      </c>
      <c r="I377" s="16" t="s">
        <v>296</v>
      </c>
      <c r="J377" s="16">
        <v>17.041620999999999</v>
      </c>
      <c r="K377" s="16">
        <v>-96.728905999999995</v>
      </c>
      <c r="L377" s="16" t="str">
        <f>HYPERLINK("https://maps.google.com/?q=17.041621,-96.728906", "🔗 Ver Mapa")</f>
        <v>🔗 Ver Mapa</v>
      </c>
    </row>
    <row r="378" spans="1:12" ht="43.5" x14ac:dyDescent="0.35">
      <c r="A378" s="6" t="s">
        <v>291</v>
      </c>
      <c r="B378" s="6" t="s">
        <v>292</v>
      </c>
      <c r="C378" s="6" t="s">
        <v>293</v>
      </c>
      <c r="D378" s="11" t="s">
        <v>294</v>
      </c>
      <c r="E378" s="17" t="s">
        <v>75</v>
      </c>
      <c r="F378" s="17" t="s">
        <v>86</v>
      </c>
      <c r="G378" s="11" t="s">
        <v>112</v>
      </c>
      <c r="H378" s="11" t="s">
        <v>295</v>
      </c>
      <c r="I378" s="17" t="s">
        <v>296</v>
      </c>
      <c r="J378" s="17">
        <v>17.041772000000002</v>
      </c>
      <c r="K378" s="17">
        <v>-96.727842999999993</v>
      </c>
      <c r="L378" s="17" t="str">
        <f>HYPERLINK("https://maps.google.com/?q=17.041772,-96.727843", "🔗 Ver Mapa")</f>
        <v>🔗 Ver Mapa</v>
      </c>
    </row>
    <row r="379" spans="1:12" ht="43.5" x14ac:dyDescent="0.35">
      <c r="A379" s="5" t="s">
        <v>291</v>
      </c>
      <c r="B379" s="5" t="s">
        <v>292</v>
      </c>
      <c r="C379" s="5" t="s">
        <v>293</v>
      </c>
      <c r="D379" s="8" t="s">
        <v>294</v>
      </c>
      <c r="E379" s="16" t="s">
        <v>75</v>
      </c>
      <c r="F379" s="16" t="s">
        <v>86</v>
      </c>
      <c r="G379" s="8" t="s">
        <v>112</v>
      </c>
      <c r="H379" s="8" t="s">
        <v>295</v>
      </c>
      <c r="I379" s="16" t="s">
        <v>296</v>
      </c>
      <c r="J379" s="16">
        <v>17.041962000000002</v>
      </c>
      <c r="K379" s="16">
        <v>-96.727868999999998</v>
      </c>
      <c r="L379" s="16" t="str">
        <f>HYPERLINK("https://maps.google.com/?q=17.041962,-96.727869", "🔗 Ver Mapa")</f>
        <v>🔗 Ver Mapa</v>
      </c>
    </row>
    <row r="380" spans="1:12" ht="43.5" x14ac:dyDescent="0.35">
      <c r="A380" s="6" t="s">
        <v>270</v>
      </c>
      <c r="B380" s="6" t="s">
        <v>271</v>
      </c>
      <c r="C380" s="6" t="s">
        <v>297</v>
      </c>
      <c r="D380" s="11" t="s">
        <v>273</v>
      </c>
      <c r="E380" s="17" t="s">
        <v>73</v>
      </c>
      <c r="F380" s="17" t="s">
        <v>81</v>
      </c>
      <c r="G380" s="11" t="s">
        <v>298</v>
      </c>
      <c r="H380" s="11" t="s">
        <v>299</v>
      </c>
      <c r="I380" s="17" t="s">
        <v>138</v>
      </c>
      <c r="J380" s="17">
        <v>17.466725671932</v>
      </c>
      <c r="K380" s="17">
        <v>-97.703988427433998</v>
      </c>
      <c r="L380" s="17" t="str">
        <f>HYPERLINK("https://maps.google.com/?q=17.466725671932,-97.703988427434", "🔗 Ver Mapa")</f>
        <v>🔗 Ver Mapa</v>
      </c>
    </row>
    <row r="381" spans="1:12" ht="43.5" x14ac:dyDescent="0.35">
      <c r="A381" s="5" t="s">
        <v>270</v>
      </c>
      <c r="B381" s="5" t="s">
        <v>271</v>
      </c>
      <c r="C381" s="5" t="s">
        <v>297</v>
      </c>
      <c r="D381" s="8" t="s">
        <v>273</v>
      </c>
      <c r="E381" s="16" t="s">
        <v>73</v>
      </c>
      <c r="F381" s="16" t="s">
        <v>81</v>
      </c>
      <c r="G381" s="8" t="s">
        <v>298</v>
      </c>
      <c r="H381" s="8" t="s">
        <v>299</v>
      </c>
      <c r="I381" s="16" t="s">
        <v>138</v>
      </c>
      <c r="J381" s="16">
        <v>17.467175226860999</v>
      </c>
      <c r="K381" s="16">
        <v>-97.703903961278002</v>
      </c>
      <c r="L381" s="16" t="str">
        <f>HYPERLINK("https://maps.google.com/?q=17.467175226861,-97.703903961278", "🔗 Ver Mapa")</f>
        <v>🔗 Ver Mapa</v>
      </c>
    </row>
    <row r="382" spans="1:12" ht="43.5" x14ac:dyDescent="0.35">
      <c r="A382" s="6" t="s">
        <v>270</v>
      </c>
      <c r="B382" s="6" t="s">
        <v>271</v>
      </c>
      <c r="C382" s="6" t="s">
        <v>297</v>
      </c>
      <c r="D382" s="11" t="s">
        <v>273</v>
      </c>
      <c r="E382" s="17" t="s">
        <v>73</v>
      </c>
      <c r="F382" s="17" t="s">
        <v>81</v>
      </c>
      <c r="G382" s="11" t="s">
        <v>298</v>
      </c>
      <c r="H382" s="11" t="s">
        <v>299</v>
      </c>
      <c r="I382" s="17" t="s">
        <v>138</v>
      </c>
      <c r="J382" s="17">
        <v>17.469731787600999</v>
      </c>
      <c r="K382" s="17">
        <v>-97.708331101853005</v>
      </c>
      <c r="L382" s="17" t="str">
        <f>HYPERLINK("https://maps.google.com/?q=17.469731787601,-97.708331101853", "🔗 Ver Mapa")</f>
        <v>🔗 Ver Mapa</v>
      </c>
    </row>
    <row r="383" spans="1:12" ht="43.5" x14ac:dyDescent="0.35">
      <c r="A383" s="5" t="s">
        <v>270</v>
      </c>
      <c r="B383" s="5" t="s">
        <v>271</v>
      </c>
      <c r="C383" s="5" t="s">
        <v>297</v>
      </c>
      <c r="D383" s="8" t="s">
        <v>273</v>
      </c>
      <c r="E383" s="16" t="s">
        <v>73</v>
      </c>
      <c r="F383" s="16" t="s">
        <v>81</v>
      </c>
      <c r="G383" s="8" t="s">
        <v>298</v>
      </c>
      <c r="H383" s="8" t="s">
        <v>299</v>
      </c>
      <c r="I383" s="16" t="s">
        <v>138</v>
      </c>
      <c r="J383" s="16">
        <v>17.469811240414</v>
      </c>
      <c r="K383" s="16">
        <v>-97.707078332218003</v>
      </c>
      <c r="L383" s="16" t="str">
        <f>HYPERLINK("https://maps.google.com/?q=17.469811240414,-97.707078332218", "🔗 Ver Mapa")</f>
        <v>🔗 Ver Mapa</v>
      </c>
    </row>
    <row r="384" spans="1:12" ht="43.5" x14ac:dyDescent="0.35">
      <c r="A384" s="6" t="s">
        <v>270</v>
      </c>
      <c r="B384" s="6" t="s">
        <v>271</v>
      </c>
      <c r="C384" s="6" t="s">
        <v>297</v>
      </c>
      <c r="D384" s="11" t="s">
        <v>273</v>
      </c>
      <c r="E384" s="17" t="s">
        <v>73</v>
      </c>
      <c r="F384" s="17" t="s">
        <v>81</v>
      </c>
      <c r="G384" s="11" t="s">
        <v>298</v>
      </c>
      <c r="H384" s="11" t="s">
        <v>299</v>
      </c>
      <c r="I384" s="17" t="s">
        <v>138</v>
      </c>
      <c r="J384" s="17">
        <v>17.469895670658001</v>
      </c>
      <c r="K384" s="17">
        <v>-97.707199031624</v>
      </c>
      <c r="L384" s="17" t="str">
        <f>HYPERLINK("https://maps.google.com/?q=17.469895670658,-97.707199031624", "🔗 Ver Mapa")</f>
        <v>🔗 Ver Mapa</v>
      </c>
    </row>
    <row r="385" spans="1:12" ht="43.5" x14ac:dyDescent="0.35">
      <c r="A385" s="5" t="s">
        <v>270</v>
      </c>
      <c r="B385" s="5" t="s">
        <v>271</v>
      </c>
      <c r="C385" s="5" t="s">
        <v>297</v>
      </c>
      <c r="D385" s="8" t="s">
        <v>273</v>
      </c>
      <c r="E385" s="16" t="s">
        <v>73</v>
      </c>
      <c r="F385" s="16" t="s">
        <v>81</v>
      </c>
      <c r="G385" s="8" t="s">
        <v>298</v>
      </c>
      <c r="H385" s="8" t="s">
        <v>299</v>
      </c>
      <c r="I385" s="16" t="s">
        <v>138</v>
      </c>
      <c r="J385" s="16">
        <v>17.469908463115001</v>
      </c>
      <c r="K385" s="16">
        <v>-97.701189542327995</v>
      </c>
      <c r="L385" s="16" t="str">
        <f>HYPERLINK("https://maps.google.com/?q=17.469908463115,-97.701189542328", "🔗 Ver Mapa")</f>
        <v>🔗 Ver Mapa</v>
      </c>
    </row>
    <row r="386" spans="1:12" ht="43.5" x14ac:dyDescent="0.35">
      <c r="A386" s="6" t="s">
        <v>270</v>
      </c>
      <c r="B386" s="6" t="s">
        <v>271</v>
      </c>
      <c r="C386" s="6" t="s">
        <v>297</v>
      </c>
      <c r="D386" s="11" t="s">
        <v>273</v>
      </c>
      <c r="E386" s="17" t="s">
        <v>73</v>
      </c>
      <c r="F386" s="17" t="s">
        <v>81</v>
      </c>
      <c r="G386" s="11" t="s">
        <v>298</v>
      </c>
      <c r="H386" s="11" t="s">
        <v>299</v>
      </c>
      <c r="I386" s="17" t="s">
        <v>138</v>
      </c>
      <c r="J386" s="17">
        <v>17.470201942525001</v>
      </c>
      <c r="K386" s="17">
        <v>-97.708224999999999</v>
      </c>
      <c r="L386" s="17" t="str">
        <f>HYPERLINK("https://maps.google.com/?q=17.470201942525,-97.708225", "🔗 Ver Mapa")</f>
        <v>🔗 Ver Mapa</v>
      </c>
    </row>
    <row r="387" spans="1:12" ht="43.5" x14ac:dyDescent="0.35">
      <c r="A387" s="5" t="s">
        <v>270</v>
      </c>
      <c r="B387" s="5" t="s">
        <v>271</v>
      </c>
      <c r="C387" s="5" t="s">
        <v>297</v>
      </c>
      <c r="D387" s="8" t="s">
        <v>273</v>
      </c>
      <c r="E387" s="16" t="s">
        <v>73</v>
      </c>
      <c r="F387" s="16" t="s">
        <v>81</v>
      </c>
      <c r="G387" s="8" t="s">
        <v>298</v>
      </c>
      <c r="H387" s="8" t="s">
        <v>299</v>
      </c>
      <c r="I387" s="16" t="s">
        <v>138</v>
      </c>
      <c r="J387" s="16">
        <v>17.470624839311998</v>
      </c>
      <c r="K387" s="16">
        <v>-97.709307247908995</v>
      </c>
      <c r="L387" s="16" t="str">
        <f>HYPERLINK("https://maps.google.com/?q=17.470624839312,-97.709307247909", "🔗 Ver Mapa")</f>
        <v>🔗 Ver Mapa</v>
      </c>
    </row>
    <row r="388" spans="1:12" ht="43.5" x14ac:dyDescent="0.35">
      <c r="A388" s="6" t="s">
        <v>270</v>
      </c>
      <c r="B388" s="6" t="s">
        <v>271</v>
      </c>
      <c r="C388" s="6" t="s">
        <v>297</v>
      </c>
      <c r="D388" s="11" t="s">
        <v>273</v>
      </c>
      <c r="E388" s="17" t="s">
        <v>73</v>
      </c>
      <c r="F388" s="17" t="s">
        <v>81</v>
      </c>
      <c r="G388" s="11" t="s">
        <v>298</v>
      </c>
      <c r="H388" s="11" t="s">
        <v>299</v>
      </c>
      <c r="I388" s="17" t="s">
        <v>138</v>
      </c>
      <c r="J388" s="17">
        <v>17.473484255997999</v>
      </c>
      <c r="K388" s="17">
        <v>-97.705621495700996</v>
      </c>
      <c r="L388" s="17" t="str">
        <f>HYPERLINK("https://maps.google.com/?q=17.473484255998,-97.705621495701", "🔗 Ver Mapa")</f>
        <v>🔗 Ver Mapa</v>
      </c>
    </row>
    <row r="389" spans="1:12" ht="43.5" x14ac:dyDescent="0.35">
      <c r="A389" s="5" t="s">
        <v>270</v>
      </c>
      <c r="B389" s="5" t="s">
        <v>271</v>
      </c>
      <c r="C389" s="5" t="s">
        <v>297</v>
      </c>
      <c r="D389" s="8" t="s">
        <v>273</v>
      </c>
      <c r="E389" s="16" t="s">
        <v>73</v>
      </c>
      <c r="F389" s="16" t="s">
        <v>81</v>
      </c>
      <c r="G389" s="8" t="s">
        <v>298</v>
      </c>
      <c r="H389" s="8" t="s">
        <v>299</v>
      </c>
      <c r="I389" s="16" t="s">
        <v>138</v>
      </c>
      <c r="J389" s="16">
        <v>17.473625769546999</v>
      </c>
      <c r="K389" s="16">
        <v>-97.707480272490997</v>
      </c>
      <c r="L389" s="16" t="str">
        <f>HYPERLINK("https://maps.google.com/?q=17.473625769547,-97.707480272491", "🔗 Ver Mapa")</f>
        <v>🔗 Ver Mapa</v>
      </c>
    </row>
    <row r="390" spans="1:12" ht="43.5" x14ac:dyDescent="0.35">
      <c r="A390" s="6" t="s">
        <v>270</v>
      </c>
      <c r="B390" s="6" t="s">
        <v>271</v>
      </c>
      <c r="C390" s="6" t="s">
        <v>297</v>
      </c>
      <c r="D390" s="11" t="s">
        <v>273</v>
      </c>
      <c r="E390" s="17" t="s">
        <v>73</v>
      </c>
      <c r="F390" s="17" t="s">
        <v>81</v>
      </c>
      <c r="G390" s="11" t="s">
        <v>298</v>
      </c>
      <c r="H390" s="11" t="s">
        <v>299</v>
      </c>
      <c r="I390" s="17" t="s">
        <v>138</v>
      </c>
      <c r="J390" s="17">
        <v>17.474327697669999</v>
      </c>
      <c r="K390" s="17">
        <v>-97.707639294478</v>
      </c>
      <c r="L390" s="17" t="str">
        <f>HYPERLINK("https://maps.google.com/?q=17.47432769767,-97.707639294478", "🔗 Ver Mapa")</f>
        <v>🔗 Ver Mapa</v>
      </c>
    </row>
    <row r="391" spans="1:12" ht="43.5" x14ac:dyDescent="0.35">
      <c r="A391" s="5" t="s">
        <v>270</v>
      </c>
      <c r="B391" s="5" t="s">
        <v>271</v>
      </c>
      <c r="C391" s="5" t="s">
        <v>297</v>
      </c>
      <c r="D391" s="8" t="s">
        <v>273</v>
      </c>
      <c r="E391" s="16" t="s">
        <v>73</v>
      </c>
      <c r="F391" s="16" t="s">
        <v>81</v>
      </c>
      <c r="G391" s="8" t="s">
        <v>298</v>
      </c>
      <c r="H391" s="8" t="s">
        <v>299</v>
      </c>
      <c r="I391" s="16" t="s">
        <v>138</v>
      </c>
      <c r="J391" s="16">
        <v>17.475025230410999</v>
      </c>
      <c r="K391" s="16">
        <v>-97.706753393848999</v>
      </c>
      <c r="L391" s="16" t="str">
        <f>HYPERLINK("https://maps.google.com/?q=17.475025230411,-97.706753393849", "🔗 Ver Mapa")</f>
        <v>🔗 Ver Mapa</v>
      </c>
    </row>
    <row r="392" spans="1:12" ht="43.5" x14ac:dyDescent="0.35">
      <c r="A392" s="6" t="s">
        <v>270</v>
      </c>
      <c r="B392" s="6" t="s">
        <v>271</v>
      </c>
      <c r="C392" s="6" t="s">
        <v>300</v>
      </c>
      <c r="D392" s="11" t="s">
        <v>273</v>
      </c>
      <c r="E392" s="17" t="s">
        <v>73</v>
      </c>
      <c r="F392" s="17" t="s">
        <v>81</v>
      </c>
      <c r="G392" s="11" t="s">
        <v>298</v>
      </c>
      <c r="H392" s="11" t="s">
        <v>301</v>
      </c>
      <c r="I392" s="17" t="s">
        <v>138</v>
      </c>
      <c r="J392" s="17">
        <v>17.51566</v>
      </c>
      <c r="K392" s="17">
        <v>-97.741168999999999</v>
      </c>
      <c r="L392" s="17" t="str">
        <f>HYPERLINK("https://maps.google.com/?q=17.51566,-97.741169", "🔗 Ver Mapa")</f>
        <v>🔗 Ver Mapa</v>
      </c>
    </row>
    <row r="393" spans="1:12" ht="43.5" x14ac:dyDescent="0.35">
      <c r="A393" s="5" t="s">
        <v>270</v>
      </c>
      <c r="B393" s="5" t="s">
        <v>271</v>
      </c>
      <c r="C393" s="5" t="s">
        <v>300</v>
      </c>
      <c r="D393" s="8" t="s">
        <v>273</v>
      </c>
      <c r="E393" s="16" t="s">
        <v>73</v>
      </c>
      <c r="F393" s="16" t="s">
        <v>81</v>
      </c>
      <c r="G393" s="8" t="s">
        <v>298</v>
      </c>
      <c r="H393" s="8" t="s">
        <v>301</v>
      </c>
      <c r="I393" s="16" t="s">
        <v>138</v>
      </c>
      <c r="J393" s="16">
        <v>17.519341173461001</v>
      </c>
      <c r="K393" s="16">
        <v>-97.740229565641002</v>
      </c>
      <c r="L393" s="16" t="str">
        <f>HYPERLINK("https://maps.google.com/?q=17.519341173461,-97.740229565641", "🔗 Ver Mapa")</f>
        <v>🔗 Ver Mapa</v>
      </c>
    </row>
    <row r="394" spans="1:12" ht="43.5" x14ac:dyDescent="0.35">
      <c r="A394" s="6" t="s">
        <v>270</v>
      </c>
      <c r="B394" s="6" t="s">
        <v>271</v>
      </c>
      <c r="C394" s="6" t="s">
        <v>300</v>
      </c>
      <c r="D394" s="11" t="s">
        <v>273</v>
      </c>
      <c r="E394" s="17" t="s">
        <v>73</v>
      </c>
      <c r="F394" s="17" t="s">
        <v>81</v>
      </c>
      <c r="G394" s="11" t="s">
        <v>298</v>
      </c>
      <c r="H394" s="11" t="s">
        <v>301</v>
      </c>
      <c r="I394" s="17" t="s">
        <v>138</v>
      </c>
      <c r="J394" s="17">
        <v>17.519651926706999</v>
      </c>
      <c r="K394" s="17">
        <v>-97.740435408894996</v>
      </c>
      <c r="L394" s="17" t="str">
        <f>HYPERLINK("https://maps.google.com/?q=17.519651926707,-97.740435408895", "🔗 Ver Mapa")</f>
        <v>🔗 Ver Mapa</v>
      </c>
    </row>
    <row r="395" spans="1:12" ht="43.5" x14ac:dyDescent="0.35">
      <c r="A395" s="5" t="s">
        <v>270</v>
      </c>
      <c r="B395" s="5" t="s">
        <v>271</v>
      </c>
      <c r="C395" s="5" t="s">
        <v>300</v>
      </c>
      <c r="D395" s="8" t="s">
        <v>273</v>
      </c>
      <c r="E395" s="16" t="s">
        <v>73</v>
      </c>
      <c r="F395" s="16" t="s">
        <v>81</v>
      </c>
      <c r="G395" s="8" t="s">
        <v>298</v>
      </c>
      <c r="H395" s="8" t="s">
        <v>301</v>
      </c>
      <c r="I395" s="16" t="s">
        <v>138</v>
      </c>
      <c r="J395" s="16">
        <v>17.519700819324999</v>
      </c>
      <c r="K395" s="16">
        <v>-97.734729332506006</v>
      </c>
      <c r="L395" s="16" t="str">
        <f>HYPERLINK("https://maps.google.com/?q=17.519700819325,-97.734729332506", "🔗 Ver Mapa")</f>
        <v>🔗 Ver Mapa</v>
      </c>
    </row>
    <row r="396" spans="1:12" ht="43.5" x14ac:dyDescent="0.35">
      <c r="A396" s="6" t="s">
        <v>270</v>
      </c>
      <c r="B396" s="6" t="s">
        <v>271</v>
      </c>
      <c r="C396" s="6" t="s">
        <v>300</v>
      </c>
      <c r="D396" s="11" t="s">
        <v>273</v>
      </c>
      <c r="E396" s="17" t="s">
        <v>73</v>
      </c>
      <c r="F396" s="17" t="s">
        <v>81</v>
      </c>
      <c r="G396" s="11" t="s">
        <v>298</v>
      </c>
      <c r="H396" s="11" t="s">
        <v>301</v>
      </c>
      <c r="I396" s="17" t="s">
        <v>138</v>
      </c>
      <c r="J396" s="17">
        <v>17.519861555590001</v>
      </c>
      <c r="K396" s="17">
        <v>-97.741332574240005</v>
      </c>
      <c r="L396" s="17" t="str">
        <f>HYPERLINK("https://maps.google.com/?q=17.51986155559,-97.74133257424", "🔗 Ver Mapa")</f>
        <v>🔗 Ver Mapa</v>
      </c>
    </row>
    <row r="397" spans="1:12" ht="43.5" x14ac:dyDescent="0.35">
      <c r="A397" s="5" t="s">
        <v>270</v>
      </c>
      <c r="B397" s="5" t="s">
        <v>271</v>
      </c>
      <c r="C397" s="5" t="s">
        <v>300</v>
      </c>
      <c r="D397" s="8" t="s">
        <v>273</v>
      </c>
      <c r="E397" s="16" t="s">
        <v>73</v>
      </c>
      <c r="F397" s="16" t="s">
        <v>81</v>
      </c>
      <c r="G397" s="8" t="s">
        <v>298</v>
      </c>
      <c r="H397" s="8" t="s">
        <v>301</v>
      </c>
      <c r="I397" s="16" t="s">
        <v>138</v>
      </c>
      <c r="J397" s="16">
        <v>17.520176010406999</v>
      </c>
      <c r="K397" s="16">
        <v>-97.736612425760001</v>
      </c>
      <c r="L397" s="16" t="str">
        <f>HYPERLINK("https://maps.google.com/?q=17.520176010407,-97.73661242576", "🔗 Ver Mapa")</f>
        <v>🔗 Ver Mapa</v>
      </c>
    </row>
    <row r="398" spans="1:12" ht="43.5" x14ac:dyDescent="0.35">
      <c r="A398" s="6" t="s">
        <v>270</v>
      </c>
      <c r="B398" s="6" t="s">
        <v>271</v>
      </c>
      <c r="C398" s="6" t="s">
        <v>300</v>
      </c>
      <c r="D398" s="11" t="s">
        <v>273</v>
      </c>
      <c r="E398" s="17" t="s">
        <v>73</v>
      </c>
      <c r="F398" s="17" t="s">
        <v>81</v>
      </c>
      <c r="G398" s="11" t="s">
        <v>298</v>
      </c>
      <c r="H398" s="11" t="s">
        <v>301</v>
      </c>
      <c r="I398" s="17" t="s">
        <v>138</v>
      </c>
      <c r="J398" s="17">
        <v>17.520181000000001</v>
      </c>
      <c r="K398" s="17">
        <v>-97.740284000000003</v>
      </c>
      <c r="L398" s="17" t="str">
        <f>HYPERLINK("https://maps.google.com/?q=17.520181,-97.740284", "🔗 Ver Mapa")</f>
        <v>🔗 Ver Mapa</v>
      </c>
    </row>
    <row r="399" spans="1:12" ht="43.5" x14ac:dyDescent="0.35">
      <c r="A399" s="5" t="s">
        <v>270</v>
      </c>
      <c r="B399" s="5" t="s">
        <v>271</v>
      </c>
      <c r="C399" s="5" t="s">
        <v>300</v>
      </c>
      <c r="D399" s="8" t="s">
        <v>273</v>
      </c>
      <c r="E399" s="16" t="s">
        <v>73</v>
      </c>
      <c r="F399" s="16" t="s">
        <v>81</v>
      </c>
      <c r="G399" s="8" t="s">
        <v>298</v>
      </c>
      <c r="H399" s="8" t="s">
        <v>301</v>
      </c>
      <c r="I399" s="16" t="s">
        <v>138</v>
      </c>
      <c r="J399" s="16">
        <v>17.520260030471999</v>
      </c>
      <c r="K399" s="16">
        <v>-97.736393906746002</v>
      </c>
      <c r="L399" s="16" t="str">
        <f>HYPERLINK("https://maps.google.com/?q=17.520260030472,-97.736393906746", "🔗 Ver Mapa")</f>
        <v>🔗 Ver Mapa</v>
      </c>
    </row>
    <row r="400" spans="1:12" ht="43.5" x14ac:dyDescent="0.35">
      <c r="A400" s="6" t="s">
        <v>270</v>
      </c>
      <c r="B400" s="6" t="s">
        <v>271</v>
      </c>
      <c r="C400" s="6" t="s">
        <v>300</v>
      </c>
      <c r="D400" s="11" t="s">
        <v>273</v>
      </c>
      <c r="E400" s="17" t="s">
        <v>73</v>
      </c>
      <c r="F400" s="17" t="s">
        <v>81</v>
      </c>
      <c r="G400" s="11" t="s">
        <v>298</v>
      </c>
      <c r="H400" s="11" t="s">
        <v>301</v>
      </c>
      <c r="I400" s="17" t="s">
        <v>138</v>
      </c>
      <c r="J400" s="17">
        <v>17.520289839429001</v>
      </c>
      <c r="K400" s="17">
        <v>-97.735379909803996</v>
      </c>
      <c r="L400" s="17" t="str">
        <f>HYPERLINK("https://maps.google.com/?q=17.520289839429,-97.735379909804", "🔗 Ver Mapa")</f>
        <v>🔗 Ver Mapa</v>
      </c>
    </row>
    <row r="401" spans="1:12" ht="43.5" x14ac:dyDescent="0.35">
      <c r="A401" s="5" t="s">
        <v>270</v>
      </c>
      <c r="B401" s="5" t="s">
        <v>271</v>
      </c>
      <c r="C401" s="5" t="s">
        <v>300</v>
      </c>
      <c r="D401" s="8" t="s">
        <v>273</v>
      </c>
      <c r="E401" s="16" t="s">
        <v>73</v>
      </c>
      <c r="F401" s="16" t="s">
        <v>81</v>
      </c>
      <c r="G401" s="8" t="s">
        <v>298</v>
      </c>
      <c r="H401" s="8" t="s">
        <v>301</v>
      </c>
      <c r="I401" s="16" t="s">
        <v>138</v>
      </c>
      <c r="J401" s="16">
        <v>17.520373636039999</v>
      </c>
      <c r="K401" s="16">
        <v>-97.735904379133004</v>
      </c>
      <c r="L401" s="16" t="str">
        <f>HYPERLINK("https://maps.google.com/?q=17.52037363604,-97.735904379133", "🔗 Ver Mapa")</f>
        <v>🔗 Ver Mapa</v>
      </c>
    </row>
    <row r="402" spans="1:12" ht="43.5" x14ac:dyDescent="0.35">
      <c r="A402" s="6" t="s">
        <v>270</v>
      </c>
      <c r="B402" s="6" t="s">
        <v>271</v>
      </c>
      <c r="C402" s="6" t="s">
        <v>300</v>
      </c>
      <c r="D402" s="11" t="s">
        <v>273</v>
      </c>
      <c r="E402" s="17" t="s">
        <v>73</v>
      </c>
      <c r="F402" s="17" t="s">
        <v>81</v>
      </c>
      <c r="G402" s="11" t="s">
        <v>298</v>
      </c>
      <c r="H402" s="11" t="s">
        <v>301</v>
      </c>
      <c r="I402" s="17" t="s">
        <v>138</v>
      </c>
      <c r="J402" s="17">
        <v>17.520506822874001</v>
      </c>
      <c r="K402" s="17">
        <v>-97.736288385343997</v>
      </c>
      <c r="L402" s="17" t="str">
        <f>HYPERLINK("https://maps.google.com/?q=17.520506822874,-97.736288385344", "🔗 Ver Mapa")</f>
        <v>🔗 Ver Mapa</v>
      </c>
    </row>
    <row r="403" spans="1:12" ht="43.5" x14ac:dyDescent="0.35">
      <c r="A403" s="5" t="s">
        <v>270</v>
      </c>
      <c r="B403" s="5" t="s">
        <v>271</v>
      </c>
      <c r="C403" s="5" t="s">
        <v>300</v>
      </c>
      <c r="D403" s="8" t="s">
        <v>273</v>
      </c>
      <c r="E403" s="16" t="s">
        <v>73</v>
      </c>
      <c r="F403" s="16" t="s">
        <v>81</v>
      </c>
      <c r="G403" s="8" t="s">
        <v>298</v>
      </c>
      <c r="H403" s="8" t="s">
        <v>301</v>
      </c>
      <c r="I403" s="16" t="s">
        <v>138</v>
      </c>
      <c r="J403" s="16">
        <v>17.520556154983002</v>
      </c>
      <c r="K403" s="16">
        <v>-97.738947790927</v>
      </c>
      <c r="L403" s="16" t="str">
        <f>HYPERLINK("https://maps.google.com/?q=17.520556154983,-97.738947790927", "🔗 Ver Mapa")</f>
        <v>🔗 Ver Mapa</v>
      </c>
    </row>
    <row r="404" spans="1:12" ht="43.5" x14ac:dyDescent="0.35">
      <c r="A404" s="6" t="s">
        <v>270</v>
      </c>
      <c r="B404" s="6" t="s">
        <v>271</v>
      </c>
      <c r="C404" s="6" t="s">
        <v>300</v>
      </c>
      <c r="D404" s="11" t="s">
        <v>273</v>
      </c>
      <c r="E404" s="17" t="s">
        <v>73</v>
      </c>
      <c r="F404" s="17" t="s">
        <v>81</v>
      </c>
      <c r="G404" s="11" t="s">
        <v>298</v>
      </c>
      <c r="H404" s="11" t="s">
        <v>301</v>
      </c>
      <c r="I404" s="17" t="s">
        <v>138</v>
      </c>
      <c r="J404" s="17">
        <v>17.520696832472002</v>
      </c>
      <c r="K404" s="17">
        <v>-97.738910239251993</v>
      </c>
      <c r="L404" s="17" t="str">
        <f>HYPERLINK("https://maps.google.com/?q=17.520696832472,-97.738910239252", "🔗 Ver Mapa")</f>
        <v>🔗 Ver Mapa</v>
      </c>
    </row>
    <row r="405" spans="1:12" ht="43.5" x14ac:dyDescent="0.35">
      <c r="A405" s="5" t="s">
        <v>270</v>
      </c>
      <c r="B405" s="5" t="s">
        <v>271</v>
      </c>
      <c r="C405" s="5" t="s">
        <v>300</v>
      </c>
      <c r="D405" s="8" t="s">
        <v>273</v>
      </c>
      <c r="E405" s="16" t="s">
        <v>73</v>
      </c>
      <c r="F405" s="16" t="s">
        <v>81</v>
      </c>
      <c r="G405" s="8" t="s">
        <v>298</v>
      </c>
      <c r="H405" s="8" t="s">
        <v>301</v>
      </c>
      <c r="I405" s="16" t="s">
        <v>138</v>
      </c>
      <c r="J405" s="16">
        <v>17.52357583437</v>
      </c>
      <c r="K405" s="16">
        <v>-97.737482617553994</v>
      </c>
      <c r="L405" s="16" t="str">
        <f>HYPERLINK("https://maps.google.com/?q=17.52357583437,-97.737482617554", "🔗 Ver Mapa")</f>
        <v>🔗 Ver Mapa</v>
      </c>
    </row>
    <row r="406" spans="1:12" ht="43.5" x14ac:dyDescent="0.35">
      <c r="A406" s="6" t="s">
        <v>270</v>
      </c>
      <c r="B406" s="6" t="s">
        <v>271</v>
      </c>
      <c r="C406" s="6" t="s">
        <v>302</v>
      </c>
      <c r="D406" s="11" t="s">
        <v>273</v>
      </c>
      <c r="E406" s="17" t="s">
        <v>73</v>
      </c>
      <c r="F406" s="17" t="s">
        <v>81</v>
      </c>
      <c r="G406" s="11" t="s">
        <v>298</v>
      </c>
      <c r="H406" s="11" t="s">
        <v>303</v>
      </c>
      <c r="I406" s="17" t="s">
        <v>138</v>
      </c>
      <c r="J406" s="17"/>
      <c r="K406" s="17"/>
      <c r="L406" s="17" t="e">
        <f>HYPERLINK("", "🔗 Ver Mapa")</f>
        <v>#REF!</v>
      </c>
    </row>
    <row r="407" spans="1:12" ht="43.5" x14ac:dyDescent="0.35">
      <c r="A407" s="5" t="s">
        <v>270</v>
      </c>
      <c r="B407" s="5" t="s">
        <v>271</v>
      </c>
      <c r="C407" s="5" t="s">
        <v>302</v>
      </c>
      <c r="D407" s="8" t="s">
        <v>273</v>
      </c>
      <c r="E407" s="16" t="s">
        <v>73</v>
      </c>
      <c r="F407" s="16" t="s">
        <v>81</v>
      </c>
      <c r="G407" s="8" t="s">
        <v>298</v>
      </c>
      <c r="H407" s="8" t="s">
        <v>303</v>
      </c>
      <c r="I407" s="16" t="s">
        <v>138</v>
      </c>
      <c r="J407" s="16"/>
      <c r="K407" s="16">
        <v>-97.738900679151001</v>
      </c>
      <c r="L407" s="16" t="e">
        <f>HYPERLINK("", "🔗 Ver Mapa")</f>
        <v>#REF!</v>
      </c>
    </row>
    <row r="408" spans="1:12" ht="43.5" x14ac:dyDescent="0.35">
      <c r="A408" s="6" t="s">
        <v>270</v>
      </c>
      <c r="B408" s="6" t="s">
        <v>271</v>
      </c>
      <c r="C408" s="6" t="s">
        <v>302</v>
      </c>
      <c r="D408" s="11" t="s">
        <v>273</v>
      </c>
      <c r="E408" s="17" t="s">
        <v>73</v>
      </c>
      <c r="F408" s="17" t="s">
        <v>81</v>
      </c>
      <c r="G408" s="11" t="s">
        <v>298</v>
      </c>
      <c r="H408" s="11" t="s">
        <v>303</v>
      </c>
      <c r="I408" s="17" t="s">
        <v>138</v>
      </c>
      <c r="J408" s="17">
        <v>17.538746808517999</v>
      </c>
      <c r="K408" s="17">
        <v>-97.739049423466994</v>
      </c>
      <c r="L408" s="17" t="str">
        <f>HYPERLINK("https://maps.google.com/?q=17.538746808518,-97.739049423467", "🔗 Ver Mapa")</f>
        <v>🔗 Ver Mapa</v>
      </c>
    </row>
    <row r="409" spans="1:12" ht="43.5" x14ac:dyDescent="0.35">
      <c r="A409" s="5" t="s">
        <v>270</v>
      </c>
      <c r="B409" s="5" t="s">
        <v>271</v>
      </c>
      <c r="C409" s="5" t="s">
        <v>302</v>
      </c>
      <c r="D409" s="8" t="s">
        <v>273</v>
      </c>
      <c r="E409" s="16" t="s">
        <v>73</v>
      </c>
      <c r="F409" s="16" t="s">
        <v>81</v>
      </c>
      <c r="G409" s="8" t="s">
        <v>298</v>
      </c>
      <c r="H409" s="8" t="s">
        <v>303</v>
      </c>
      <c r="I409" s="16" t="s">
        <v>138</v>
      </c>
      <c r="J409" s="16">
        <v>17.538825823547</v>
      </c>
      <c r="K409" s="16">
        <v>-97.738307548156001</v>
      </c>
      <c r="L409" s="16" t="str">
        <f>HYPERLINK("https://maps.google.com/?q=17.538825823547,-97.738307548156", "🔗 Ver Mapa")</f>
        <v>🔗 Ver Mapa</v>
      </c>
    </row>
    <row r="410" spans="1:12" ht="43.5" x14ac:dyDescent="0.35">
      <c r="A410" s="6" t="s">
        <v>270</v>
      </c>
      <c r="B410" s="6" t="s">
        <v>271</v>
      </c>
      <c r="C410" s="6" t="s">
        <v>302</v>
      </c>
      <c r="D410" s="11" t="s">
        <v>273</v>
      </c>
      <c r="E410" s="17" t="s">
        <v>73</v>
      </c>
      <c r="F410" s="17" t="s">
        <v>81</v>
      </c>
      <c r="G410" s="11" t="s">
        <v>298</v>
      </c>
      <c r="H410" s="11" t="s">
        <v>303</v>
      </c>
      <c r="I410" s="17" t="s">
        <v>138</v>
      </c>
      <c r="J410" s="17">
        <v>17.539180648357998</v>
      </c>
      <c r="K410" s="17"/>
      <c r="L410" s="17" t="e">
        <f>HYPERLINK("", "🔗 Ver Mapa")</f>
        <v>#REF!</v>
      </c>
    </row>
    <row r="411" spans="1:12" ht="43.5" x14ac:dyDescent="0.35">
      <c r="A411" s="5" t="s">
        <v>270</v>
      </c>
      <c r="B411" s="5" t="s">
        <v>271</v>
      </c>
      <c r="C411" s="5" t="s">
        <v>302</v>
      </c>
      <c r="D411" s="8" t="s">
        <v>273</v>
      </c>
      <c r="E411" s="16" t="s">
        <v>73</v>
      </c>
      <c r="F411" s="16" t="s">
        <v>81</v>
      </c>
      <c r="G411" s="8" t="s">
        <v>298</v>
      </c>
      <c r="H411" s="8" t="s">
        <v>303</v>
      </c>
      <c r="I411" s="16" t="s">
        <v>138</v>
      </c>
      <c r="J411" s="16">
        <v>17.539274899089001</v>
      </c>
      <c r="K411" s="16">
        <v>-97.737468472963997</v>
      </c>
      <c r="L411" s="16" t="str">
        <f>HYPERLINK("https://maps.google.com/?q=17.539274899089,-97.737468472964", "🔗 Ver Mapa")</f>
        <v>🔗 Ver Mapa</v>
      </c>
    </row>
    <row r="412" spans="1:12" ht="43.5" x14ac:dyDescent="0.35">
      <c r="A412" s="6" t="s">
        <v>270</v>
      </c>
      <c r="B412" s="6" t="s">
        <v>271</v>
      </c>
      <c r="C412" s="6" t="s">
        <v>302</v>
      </c>
      <c r="D412" s="11" t="s">
        <v>273</v>
      </c>
      <c r="E412" s="17" t="s">
        <v>73</v>
      </c>
      <c r="F412" s="17" t="s">
        <v>81</v>
      </c>
      <c r="G412" s="11" t="s">
        <v>298</v>
      </c>
      <c r="H412" s="11" t="s">
        <v>303</v>
      </c>
      <c r="I412" s="17" t="s">
        <v>138</v>
      </c>
      <c r="J412" s="17">
        <v>17.539450644395998</v>
      </c>
      <c r="K412" s="17">
        <v>-97.737526945675995</v>
      </c>
      <c r="L412" s="17" t="str">
        <f>HYPERLINK("https://maps.google.com/?q=17.539450644396,-97.737526945676", "🔗 Ver Mapa")</f>
        <v>🔗 Ver Mapa</v>
      </c>
    </row>
    <row r="413" spans="1:12" ht="43.5" x14ac:dyDescent="0.35">
      <c r="A413" s="5" t="s">
        <v>270</v>
      </c>
      <c r="B413" s="5" t="s">
        <v>271</v>
      </c>
      <c r="C413" s="5" t="s">
        <v>302</v>
      </c>
      <c r="D413" s="8" t="s">
        <v>273</v>
      </c>
      <c r="E413" s="16" t="s">
        <v>73</v>
      </c>
      <c r="F413" s="16" t="s">
        <v>81</v>
      </c>
      <c r="G413" s="8" t="s">
        <v>298</v>
      </c>
      <c r="H413" s="8" t="s">
        <v>303</v>
      </c>
      <c r="I413" s="16" t="s">
        <v>138</v>
      </c>
      <c r="J413" s="16">
        <v>17.539493469951999</v>
      </c>
      <c r="K413" s="16">
        <v>-97.739566415924003</v>
      </c>
      <c r="L413" s="16" t="str">
        <f>HYPERLINK("https://maps.google.com/?q=17.539493469952,-97.739566415924", "🔗 Ver Mapa")</f>
        <v>🔗 Ver Mapa</v>
      </c>
    </row>
    <row r="414" spans="1:12" ht="43.5" x14ac:dyDescent="0.35">
      <c r="A414" s="6" t="s">
        <v>270</v>
      </c>
      <c r="B414" s="6" t="s">
        <v>271</v>
      </c>
      <c r="C414" s="6" t="s">
        <v>302</v>
      </c>
      <c r="D414" s="11" t="s">
        <v>273</v>
      </c>
      <c r="E414" s="17" t="s">
        <v>73</v>
      </c>
      <c r="F414" s="17" t="s">
        <v>81</v>
      </c>
      <c r="G414" s="11" t="s">
        <v>298</v>
      </c>
      <c r="H414" s="11" t="s">
        <v>303</v>
      </c>
      <c r="I414" s="17" t="s">
        <v>138</v>
      </c>
      <c r="J414" s="17">
        <v>17.539653328235001</v>
      </c>
      <c r="K414" s="17">
        <v>-97.739056473887004</v>
      </c>
      <c r="L414" s="17" t="str">
        <f>HYPERLINK("https://maps.google.com/?q=17.539653328235,-97.739056473887", "🔗 Ver Mapa")</f>
        <v>🔗 Ver Mapa</v>
      </c>
    </row>
    <row r="415" spans="1:12" ht="43.5" x14ac:dyDescent="0.35">
      <c r="A415" s="5" t="s">
        <v>270</v>
      </c>
      <c r="B415" s="5" t="s">
        <v>271</v>
      </c>
      <c r="C415" s="5" t="s">
        <v>302</v>
      </c>
      <c r="D415" s="8" t="s">
        <v>273</v>
      </c>
      <c r="E415" s="16" t="s">
        <v>73</v>
      </c>
      <c r="F415" s="16" t="s">
        <v>81</v>
      </c>
      <c r="G415" s="8" t="s">
        <v>298</v>
      </c>
      <c r="H415" s="8" t="s">
        <v>303</v>
      </c>
      <c r="I415" s="16" t="s">
        <v>138</v>
      </c>
      <c r="J415" s="16">
        <v>17.539710484943001</v>
      </c>
      <c r="K415" s="16">
        <v>-97.737615074551996</v>
      </c>
      <c r="L415" s="16" t="str">
        <f>HYPERLINK("https://maps.google.com/?q=17.539710484943,-97.737615074552", "🔗 Ver Mapa")</f>
        <v>🔗 Ver Mapa</v>
      </c>
    </row>
    <row r="416" spans="1:12" ht="43.5" x14ac:dyDescent="0.35">
      <c r="A416" s="6" t="s">
        <v>270</v>
      </c>
      <c r="B416" s="6" t="s">
        <v>271</v>
      </c>
      <c r="C416" s="6" t="s">
        <v>302</v>
      </c>
      <c r="D416" s="11" t="s">
        <v>273</v>
      </c>
      <c r="E416" s="17" t="s">
        <v>73</v>
      </c>
      <c r="F416" s="17" t="s">
        <v>81</v>
      </c>
      <c r="G416" s="11" t="s">
        <v>298</v>
      </c>
      <c r="H416" s="11" t="s">
        <v>303</v>
      </c>
      <c r="I416" s="17" t="s">
        <v>138</v>
      </c>
      <c r="J416" s="17">
        <v>17.539795277542002</v>
      </c>
      <c r="K416" s="17">
        <v>-97.739030317281006</v>
      </c>
      <c r="L416" s="17" t="str">
        <f>HYPERLINK("https://maps.google.com/?q=17.539795277542,-97.739030317281", "🔗 Ver Mapa")</f>
        <v>🔗 Ver Mapa</v>
      </c>
    </row>
    <row r="417" spans="1:12" ht="43.5" x14ac:dyDescent="0.35">
      <c r="A417" s="5" t="s">
        <v>270</v>
      </c>
      <c r="B417" s="5" t="s">
        <v>271</v>
      </c>
      <c r="C417" s="5" t="s">
        <v>302</v>
      </c>
      <c r="D417" s="8" t="s">
        <v>273</v>
      </c>
      <c r="E417" s="16" t="s">
        <v>73</v>
      </c>
      <c r="F417" s="16" t="s">
        <v>81</v>
      </c>
      <c r="G417" s="8" t="s">
        <v>298</v>
      </c>
      <c r="H417" s="8" t="s">
        <v>303</v>
      </c>
      <c r="I417" s="16" t="s">
        <v>138</v>
      </c>
      <c r="J417" s="16">
        <v>17.539892463905002</v>
      </c>
      <c r="K417" s="16">
        <v>-97.739155039007002</v>
      </c>
      <c r="L417" s="16" t="str">
        <f>HYPERLINK("https://maps.google.com/?q=17.539892463905,-97.739155039007", "🔗 Ver Mapa")</f>
        <v>🔗 Ver Mapa</v>
      </c>
    </row>
    <row r="418" spans="1:12" ht="43.5" x14ac:dyDescent="0.35">
      <c r="A418" s="6" t="s">
        <v>270</v>
      </c>
      <c r="B418" s="6" t="s">
        <v>271</v>
      </c>
      <c r="C418" s="6" t="s">
        <v>302</v>
      </c>
      <c r="D418" s="11" t="s">
        <v>273</v>
      </c>
      <c r="E418" s="17" t="s">
        <v>73</v>
      </c>
      <c r="F418" s="17" t="s">
        <v>81</v>
      </c>
      <c r="G418" s="11" t="s">
        <v>298</v>
      </c>
      <c r="H418" s="11" t="s">
        <v>303</v>
      </c>
      <c r="I418" s="17" t="s">
        <v>138</v>
      </c>
      <c r="J418" s="17">
        <v>17.539931147726001</v>
      </c>
      <c r="K418" s="17">
        <v>-97.737950558836005</v>
      </c>
      <c r="L418" s="17" t="str">
        <f>HYPERLINK("https://maps.google.com/?q=17.539931147726,-97.737950558836", "🔗 Ver Mapa")</f>
        <v>🔗 Ver Mapa</v>
      </c>
    </row>
    <row r="419" spans="1:12" ht="43.5" x14ac:dyDescent="0.35">
      <c r="A419" s="5" t="s">
        <v>270</v>
      </c>
      <c r="B419" s="5" t="s">
        <v>271</v>
      </c>
      <c r="C419" s="5" t="s">
        <v>302</v>
      </c>
      <c r="D419" s="8" t="s">
        <v>273</v>
      </c>
      <c r="E419" s="16" t="s">
        <v>73</v>
      </c>
      <c r="F419" s="16" t="s">
        <v>81</v>
      </c>
      <c r="G419" s="8" t="s">
        <v>298</v>
      </c>
      <c r="H419" s="8" t="s">
        <v>303</v>
      </c>
      <c r="I419" s="16" t="s">
        <v>138</v>
      </c>
      <c r="J419" s="16">
        <v>17.539968548546</v>
      </c>
      <c r="K419" s="16">
        <v>-97.738192126963995</v>
      </c>
      <c r="L419" s="16" t="str">
        <f>HYPERLINK("https://maps.google.com/?q=17.539968548546,-97.738192126964", "🔗 Ver Mapa")</f>
        <v>🔗 Ver Mapa</v>
      </c>
    </row>
    <row r="420" spans="1:12" ht="43.5" x14ac:dyDescent="0.35">
      <c r="A420" s="6" t="s">
        <v>270</v>
      </c>
      <c r="B420" s="6" t="s">
        <v>271</v>
      </c>
      <c r="C420" s="6" t="s">
        <v>302</v>
      </c>
      <c r="D420" s="11" t="s">
        <v>273</v>
      </c>
      <c r="E420" s="17" t="s">
        <v>73</v>
      </c>
      <c r="F420" s="17" t="s">
        <v>81</v>
      </c>
      <c r="G420" s="11" t="s">
        <v>298</v>
      </c>
      <c r="H420" s="11" t="s">
        <v>303</v>
      </c>
      <c r="I420" s="17" t="s">
        <v>138</v>
      </c>
      <c r="J420" s="17">
        <v>17.539997224335998</v>
      </c>
      <c r="K420" s="17">
        <v>-97.737737732829004</v>
      </c>
      <c r="L420" s="17" t="str">
        <f>HYPERLINK("https://maps.google.com/?q=17.539997224336,-97.737737732829", "🔗 Ver Mapa")</f>
        <v>🔗 Ver Mapa</v>
      </c>
    </row>
    <row r="421" spans="1:12" ht="43.5" x14ac:dyDescent="0.35">
      <c r="A421" s="5" t="s">
        <v>270</v>
      </c>
      <c r="B421" s="5" t="s">
        <v>271</v>
      </c>
      <c r="C421" s="5" t="s">
        <v>304</v>
      </c>
      <c r="D421" s="8" t="s">
        <v>273</v>
      </c>
      <c r="E421" s="16" t="s">
        <v>73</v>
      </c>
      <c r="F421" s="16" t="s">
        <v>81</v>
      </c>
      <c r="G421" s="8" t="s">
        <v>298</v>
      </c>
      <c r="H421" s="8" t="s">
        <v>305</v>
      </c>
      <c r="I421" s="16" t="s">
        <v>138</v>
      </c>
      <c r="J421" s="16">
        <v>17.495051566722999</v>
      </c>
      <c r="K421" s="16">
        <v>-97.731414112292995</v>
      </c>
      <c r="L421" s="16" t="str">
        <f>HYPERLINK("https://maps.google.com/?q=17.495051566723,-97.731414112293", "🔗 Ver Mapa")</f>
        <v>🔗 Ver Mapa</v>
      </c>
    </row>
    <row r="422" spans="1:12" ht="43.5" x14ac:dyDescent="0.35">
      <c r="A422" s="6" t="s">
        <v>270</v>
      </c>
      <c r="B422" s="6" t="s">
        <v>271</v>
      </c>
      <c r="C422" s="6" t="s">
        <v>304</v>
      </c>
      <c r="D422" s="11" t="s">
        <v>273</v>
      </c>
      <c r="E422" s="17" t="s">
        <v>73</v>
      </c>
      <c r="F422" s="17" t="s">
        <v>81</v>
      </c>
      <c r="G422" s="11" t="s">
        <v>298</v>
      </c>
      <c r="H422" s="11" t="s">
        <v>305</v>
      </c>
      <c r="I422" s="17" t="s">
        <v>138</v>
      </c>
      <c r="J422" s="17">
        <v>17.495519134658998</v>
      </c>
      <c r="K422" s="17">
        <v>-97.729023078894997</v>
      </c>
      <c r="L422" s="17" t="str">
        <f>HYPERLINK("https://maps.google.com/?q=17.495519134659,-97.729023078895", "🔗 Ver Mapa")</f>
        <v>🔗 Ver Mapa</v>
      </c>
    </row>
    <row r="423" spans="1:12" ht="43.5" x14ac:dyDescent="0.35">
      <c r="A423" s="5" t="s">
        <v>270</v>
      </c>
      <c r="B423" s="5" t="s">
        <v>271</v>
      </c>
      <c r="C423" s="5" t="s">
        <v>304</v>
      </c>
      <c r="D423" s="8" t="s">
        <v>273</v>
      </c>
      <c r="E423" s="16" t="s">
        <v>73</v>
      </c>
      <c r="F423" s="16" t="s">
        <v>81</v>
      </c>
      <c r="G423" s="8" t="s">
        <v>298</v>
      </c>
      <c r="H423" s="8" t="s">
        <v>305</v>
      </c>
      <c r="I423" s="16" t="s">
        <v>138</v>
      </c>
      <c r="J423" s="16">
        <v>17.495827751552</v>
      </c>
      <c r="K423" s="16"/>
      <c r="L423" s="16" t="e">
        <f>HYPERLINK("", "🔗 Ver Mapa")</f>
        <v>#REF!</v>
      </c>
    </row>
    <row r="424" spans="1:12" ht="43.5" x14ac:dyDescent="0.35">
      <c r="A424" s="6" t="s">
        <v>270</v>
      </c>
      <c r="B424" s="6" t="s">
        <v>271</v>
      </c>
      <c r="C424" s="6" t="s">
        <v>304</v>
      </c>
      <c r="D424" s="11" t="s">
        <v>273</v>
      </c>
      <c r="E424" s="17" t="s">
        <v>73</v>
      </c>
      <c r="F424" s="17" t="s">
        <v>81</v>
      </c>
      <c r="G424" s="11" t="s">
        <v>298</v>
      </c>
      <c r="H424" s="11" t="s">
        <v>305</v>
      </c>
      <c r="I424" s="17" t="s">
        <v>138</v>
      </c>
      <c r="J424" s="17">
        <v>17.495900345650998</v>
      </c>
      <c r="K424" s="17">
        <v>-97.732106848461996</v>
      </c>
      <c r="L424" s="17" t="str">
        <f>HYPERLINK("https://maps.google.com/?q=17.495900345651,-97.732106848462", "🔗 Ver Mapa")</f>
        <v>🔗 Ver Mapa</v>
      </c>
    </row>
    <row r="425" spans="1:12" ht="43.5" x14ac:dyDescent="0.35">
      <c r="A425" s="5" t="s">
        <v>270</v>
      </c>
      <c r="B425" s="5" t="s">
        <v>271</v>
      </c>
      <c r="C425" s="5" t="s">
        <v>304</v>
      </c>
      <c r="D425" s="8" t="s">
        <v>273</v>
      </c>
      <c r="E425" s="16" t="s">
        <v>73</v>
      </c>
      <c r="F425" s="16" t="s">
        <v>81</v>
      </c>
      <c r="G425" s="8" t="s">
        <v>298</v>
      </c>
      <c r="H425" s="8" t="s">
        <v>305</v>
      </c>
      <c r="I425" s="16" t="s">
        <v>138</v>
      </c>
      <c r="J425" s="16">
        <v>17.498069935976002</v>
      </c>
      <c r="K425" s="16">
        <v>-97.728707890720003</v>
      </c>
      <c r="L425" s="16" t="str">
        <f>HYPERLINK("https://maps.google.com/?q=17.498069935976,-97.72870789072", "🔗 Ver Mapa")</f>
        <v>🔗 Ver Mapa</v>
      </c>
    </row>
    <row r="426" spans="1:12" ht="43.5" x14ac:dyDescent="0.35">
      <c r="A426" s="6" t="s">
        <v>270</v>
      </c>
      <c r="B426" s="6" t="s">
        <v>271</v>
      </c>
      <c r="C426" s="6" t="s">
        <v>304</v>
      </c>
      <c r="D426" s="11" t="s">
        <v>273</v>
      </c>
      <c r="E426" s="17" t="s">
        <v>73</v>
      </c>
      <c r="F426" s="17" t="s">
        <v>81</v>
      </c>
      <c r="G426" s="11" t="s">
        <v>298</v>
      </c>
      <c r="H426" s="11" t="s">
        <v>305</v>
      </c>
      <c r="I426" s="17" t="s">
        <v>138</v>
      </c>
      <c r="J426" s="17">
        <v>17.498389851218001</v>
      </c>
      <c r="K426" s="17">
        <v>-97.728091203473994</v>
      </c>
      <c r="L426" s="17" t="str">
        <f>HYPERLINK("https://maps.google.com/?q=17.498389851218,-97.728091203474", "🔗 Ver Mapa")</f>
        <v>🔗 Ver Mapa</v>
      </c>
    </row>
    <row r="427" spans="1:12" ht="43.5" x14ac:dyDescent="0.35">
      <c r="A427" s="5" t="s">
        <v>270</v>
      </c>
      <c r="B427" s="5" t="s">
        <v>271</v>
      </c>
      <c r="C427" s="5" t="s">
        <v>304</v>
      </c>
      <c r="D427" s="8" t="s">
        <v>273</v>
      </c>
      <c r="E427" s="16" t="s">
        <v>73</v>
      </c>
      <c r="F427" s="16" t="s">
        <v>81</v>
      </c>
      <c r="G427" s="8" t="s">
        <v>298</v>
      </c>
      <c r="H427" s="8" t="s">
        <v>305</v>
      </c>
      <c r="I427" s="16" t="s">
        <v>138</v>
      </c>
      <c r="J427" s="16">
        <v>17.498951426914001</v>
      </c>
      <c r="K427" s="16"/>
      <c r="L427" s="16" t="e">
        <f>HYPERLINK("", "🔗 Ver Mapa")</f>
        <v>#REF!</v>
      </c>
    </row>
    <row r="428" spans="1:12" ht="43.5" x14ac:dyDescent="0.35">
      <c r="A428" s="6" t="s">
        <v>270</v>
      </c>
      <c r="B428" s="6" t="s">
        <v>271</v>
      </c>
      <c r="C428" s="6" t="s">
        <v>304</v>
      </c>
      <c r="D428" s="11" t="s">
        <v>273</v>
      </c>
      <c r="E428" s="17" t="s">
        <v>73</v>
      </c>
      <c r="F428" s="17" t="s">
        <v>81</v>
      </c>
      <c r="G428" s="11" t="s">
        <v>298</v>
      </c>
      <c r="H428" s="11" t="s">
        <v>305</v>
      </c>
      <c r="I428" s="17" t="s">
        <v>138</v>
      </c>
      <c r="J428" s="17">
        <v>17.500808599367002</v>
      </c>
      <c r="K428" s="17">
        <v>-97.728943825640997</v>
      </c>
      <c r="L428" s="17" t="str">
        <f>HYPERLINK("https://maps.google.com/?q=17.500808599367,-97.728943825641", "🔗 Ver Mapa")</f>
        <v>🔗 Ver Mapa</v>
      </c>
    </row>
    <row r="429" spans="1:12" ht="43.5" x14ac:dyDescent="0.35">
      <c r="A429" s="5" t="s">
        <v>270</v>
      </c>
      <c r="B429" s="5" t="s">
        <v>271</v>
      </c>
      <c r="C429" s="5" t="s">
        <v>304</v>
      </c>
      <c r="D429" s="8" t="s">
        <v>273</v>
      </c>
      <c r="E429" s="16" t="s">
        <v>73</v>
      </c>
      <c r="F429" s="16" t="s">
        <v>81</v>
      </c>
      <c r="G429" s="8" t="s">
        <v>298</v>
      </c>
      <c r="H429" s="8" t="s">
        <v>305</v>
      </c>
      <c r="I429" s="16" t="s">
        <v>138</v>
      </c>
      <c r="J429" s="16">
        <v>17.501359400352001</v>
      </c>
      <c r="K429" s="16">
        <v>-97.729905353237001</v>
      </c>
      <c r="L429" s="16" t="str">
        <f>HYPERLINK("https://maps.google.com/?q=17.501359400352,-97.729905353237", "🔗 Ver Mapa")</f>
        <v>🔗 Ver Mapa</v>
      </c>
    </row>
    <row r="430" spans="1:12" ht="43.5" x14ac:dyDescent="0.35">
      <c r="A430" s="6" t="s">
        <v>270</v>
      </c>
      <c r="B430" s="6" t="s">
        <v>271</v>
      </c>
      <c r="C430" s="6" t="s">
        <v>304</v>
      </c>
      <c r="D430" s="11" t="s">
        <v>273</v>
      </c>
      <c r="E430" s="17" t="s">
        <v>73</v>
      </c>
      <c r="F430" s="17" t="s">
        <v>81</v>
      </c>
      <c r="G430" s="11" t="s">
        <v>298</v>
      </c>
      <c r="H430" s="11" t="s">
        <v>305</v>
      </c>
      <c r="I430" s="17" t="s">
        <v>138</v>
      </c>
      <c r="J430" s="17">
        <v>17.501524764460999</v>
      </c>
      <c r="K430" s="17">
        <v>-97.730882845400998</v>
      </c>
      <c r="L430" s="17" t="str">
        <f>HYPERLINK("https://maps.google.com/?q=17.501524764461,-97.730882845401", "🔗 Ver Mapa")</f>
        <v>🔗 Ver Mapa</v>
      </c>
    </row>
    <row r="431" spans="1:12" ht="43.5" x14ac:dyDescent="0.35">
      <c r="A431" s="5" t="s">
        <v>270</v>
      </c>
      <c r="B431" s="5" t="s">
        <v>271</v>
      </c>
      <c r="C431" s="5" t="s">
        <v>304</v>
      </c>
      <c r="D431" s="8" t="s">
        <v>273</v>
      </c>
      <c r="E431" s="16" t="s">
        <v>73</v>
      </c>
      <c r="F431" s="16" t="s">
        <v>81</v>
      </c>
      <c r="G431" s="8" t="s">
        <v>298</v>
      </c>
      <c r="H431" s="8" t="s">
        <v>305</v>
      </c>
      <c r="I431" s="16" t="s">
        <v>138</v>
      </c>
      <c r="J431" s="16">
        <v>17.50288188575</v>
      </c>
      <c r="K431" s="16">
        <v>-97.732051928895004</v>
      </c>
      <c r="L431" s="16" t="str">
        <f>HYPERLINK("https://maps.google.com/?q=17.50288188575,-97.732051928895", "🔗 Ver Mapa")</f>
        <v>🔗 Ver Mapa</v>
      </c>
    </row>
    <row r="432" spans="1:12" ht="43.5" x14ac:dyDescent="0.35">
      <c r="A432" s="6" t="s">
        <v>270</v>
      </c>
      <c r="B432" s="6" t="s">
        <v>271</v>
      </c>
      <c r="C432" s="6" t="s">
        <v>304</v>
      </c>
      <c r="D432" s="11" t="s">
        <v>273</v>
      </c>
      <c r="E432" s="17" t="s">
        <v>73</v>
      </c>
      <c r="F432" s="17" t="s">
        <v>81</v>
      </c>
      <c r="G432" s="11" t="s">
        <v>298</v>
      </c>
      <c r="H432" s="11" t="s">
        <v>305</v>
      </c>
      <c r="I432" s="17" t="s">
        <v>138</v>
      </c>
      <c r="J432" s="17">
        <v>17.503047707292001</v>
      </c>
      <c r="K432" s="17">
        <v>-97.731967968733002</v>
      </c>
      <c r="L432" s="17" t="str">
        <f>HYPERLINK("https://maps.google.com/?q=17.503047707292,-97.731967968733", "🔗 Ver Mapa")</f>
        <v>🔗 Ver Mapa</v>
      </c>
    </row>
    <row r="433" spans="1:12" ht="43.5" x14ac:dyDescent="0.35">
      <c r="A433" s="5" t="s">
        <v>270</v>
      </c>
      <c r="B433" s="5" t="s">
        <v>271</v>
      </c>
      <c r="C433" s="5" t="s">
        <v>304</v>
      </c>
      <c r="D433" s="8" t="s">
        <v>273</v>
      </c>
      <c r="E433" s="16" t="s">
        <v>73</v>
      </c>
      <c r="F433" s="16" t="s">
        <v>81</v>
      </c>
      <c r="G433" s="8" t="s">
        <v>298</v>
      </c>
      <c r="H433" s="8" t="s">
        <v>305</v>
      </c>
      <c r="I433" s="16" t="s">
        <v>138</v>
      </c>
      <c r="J433" s="16">
        <v>17.503156526213001</v>
      </c>
      <c r="K433" s="16">
        <v>-97.730261626692993</v>
      </c>
      <c r="L433" s="16" t="str">
        <f>HYPERLINK("https://maps.google.com/?q=17.503156526213,-97.730261626693", "🔗 Ver Mapa")</f>
        <v>🔗 Ver Mapa</v>
      </c>
    </row>
    <row r="434" spans="1:12" ht="43.5" x14ac:dyDescent="0.35">
      <c r="A434" s="6" t="s">
        <v>270</v>
      </c>
      <c r="B434" s="6" t="s">
        <v>271</v>
      </c>
      <c r="C434" s="6" t="s">
        <v>304</v>
      </c>
      <c r="D434" s="11" t="s">
        <v>273</v>
      </c>
      <c r="E434" s="17" t="s">
        <v>73</v>
      </c>
      <c r="F434" s="17" t="s">
        <v>81</v>
      </c>
      <c r="G434" s="11" t="s">
        <v>298</v>
      </c>
      <c r="H434" s="11" t="s">
        <v>305</v>
      </c>
      <c r="I434" s="17" t="s">
        <v>138</v>
      </c>
      <c r="J434" s="17">
        <v>17.503793479553</v>
      </c>
      <c r="K434" s="17">
        <v>-97.732277310073997</v>
      </c>
      <c r="L434" s="17" t="str">
        <f>HYPERLINK("https://maps.google.com/?q=17.503793479553,-97.732277310074", "🔗 Ver Mapa")</f>
        <v>🔗 Ver Mapa</v>
      </c>
    </row>
    <row r="435" spans="1:12" ht="43.5" x14ac:dyDescent="0.35">
      <c r="A435" s="5" t="s">
        <v>270</v>
      </c>
      <c r="B435" s="5" t="s">
        <v>271</v>
      </c>
      <c r="C435" s="5" t="s">
        <v>304</v>
      </c>
      <c r="D435" s="8" t="s">
        <v>273</v>
      </c>
      <c r="E435" s="16" t="s">
        <v>73</v>
      </c>
      <c r="F435" s="16" t="s">
        <v>81</v>
      </c>
      <c r="G435" s="8" t="s">
        <v>298</v>
      </c>
      <c r="H435" s="8" t="s">
        <v>305</v>
      </c>
      <c r="I435" s="16" t="s">
        <v>138</v>
      </c>
      <c r="J435" s="16">
        <v>17.504009299155999</v>
      </c>
      <c r="K435" s="16">
        <v>-97.731176028028997</v>
      </c>
      <c r="L435" s="16" t="str">
        <f>HYPERLINK("https://maps.google.com/?q=17.504009299156,-97.731176028029", "🔗 Ver Mapa")</f>
        <v>🔗 Ver Mapa</v>
      </c>
    </row>
    <row r="436" spans="1:12" ht="43.5" x14ac:dyDescent="0.35">
      <c r="A436" s="6" t="s">
        <v>270</v>
      </c>
      <c r="B436" s="6" t="s">
        <v>271</v>
      </c>
      <c r="C436" s="6" t="s">
        <v>306</v>
      </c>
      <c r="D436" s="11" t="s">
        <v>273</v>
      </c>
      <c r="E436" s="17" t="s">
        <v>73</v>
      </c>
      <c r="F436" s="17" t="s">
        <v>81</v>
      </c>
      <c r="G436" s="11" t="s">
        <v>298</v>
      </c>
      <c r="H436" s="11" t="s">
        <v>307</v>
      </c>
      <c r="I436" s="17" t="s">
        <v>138</v>
      </c>
      <c r="J436" s="17">
        <v>17.501648609682</v>
      </c>
      <c r="K436" s="17">
        <v>-97.707132341104</v>
      </c>
      <c r="L436" s="17" t="str">
        <f>HYPERLINK("https://maps.google.com/?q=17.501648609682,-97.707132341104", "🔗 Ver Mapa")</f>
        <v>🔗 Ver Mapa</v>
      </c>
    </row>
    <row r="437" spans="1:12" ht="43.5" x14ac:dyDescent="0.35">
      <c r="A437" s="5" t="s">
        <v>270</v>
      </c>
      <c r="B437" s="5" t="s">
        <v>271</v>
      </c>
      <c r="C437" s="5" t="s">
        <v>306</v>
      </c>
      <c r="D437" s="8" t="s">
        <v>273</v>
      </c>
      <c r="E437" s="16" t="s">
        <v>73</v>
      </c>
      <c r="F437" s="16" t="s">
        <v>81</v>
      </c>
      <c r="G437" s="8" t="s">
        <v>298</v>
      </c>
      <c r="H437" s="8" t="s">
        <v>307</v>
      </c>
      <c r="I437" s="16" t="s">
        <v>138</v>
      </c>
      <c r="J437" s="16">
        <v>17.503727293874999</v>
      </c>
      <c r="K437" s="16">
        <v>-97.710368838207003</v>
      </c>
      <c r="L437" s="16" t="str">
        <f>HYPERLINK("https://maps.google.com/?q=17.503727293875,-97.710368838207", "🔗 Ver Mapa")</f>
        <v>🔗 Ver Mapa</v>
      </c>
    </row>
    <row r="438" spans="1:12" ht="43.5" x14ac:dyDescent="0.35">
      <c r="A438" s="6" t="s">
        <v>270</v>
      </c>
      <c r="B438" s="6" t="s">
        <v>271</v>
      </c>
      <c r="C438" s="6" t="s">
        <v>306</v>
      </c>
      <c r="D438" s="11" t="s">
        <v>273</v>
      </c>
      <c r="E438" s="17" t="s">
        <v>73</v>
      </c>
      <c r="F438" s="17" t="s">
        <v>81</v>
      </c>
      <c r="G438" s="11" t="s">
        <v>298</v>
      </c>
      <c r="H438" s="11" t="s">
        <v>307</v>
      </c>
      <c r="I438" s="17" t="s">
        <v>138</v>
      </c>
      <c r="J438" s="17">
        <v>17.505989180983999</v>
      </c>
      <c r="K438" s="17">
        <v>-97.709572927577995</v>
      </c>
      <c r="L438" s="17" t="str">
        <f>HYPERLINK("https://maps.google.com/?q=17.505989180984,-97.709572927578", "🔗 Ver Mapa")</f>
        <v>🔗 Ver Mapa</v>
      </c>
    </row>
    <row r="439" spans="1:12" ht="43.5" x14ac:dyDescent="0.35">
      <c r="A439" s="5" t="s">
        <v>270</v>
      </c>
      <c r="B439" s="5" t="s">
        <v>271</v>
      </c>
      <c r="C439" s="5" t="s">
        <v>306</v>
      </c>
      <c r="D439" s="8" t="s">
        <v>273</v>
      </c>
      <c r="E439" s="16" t="s">
        <v>73</v>
      </c>
      <c r="F439" s="16" t="s">
        <v>81</v>
      </c>
      <c r="G439" s="8" t="s">
        <v>298</v>
      </c>
      <c r="H439" s="8" t="s">
        <v>307</v>
      </c>
      <c r="I439" s="16" t="s">
        <v>138</v>
      </c>
      <c r="J439" s="16">
        <v>17.506575564776998</v>
      </c>
      <c r="K439" s="16">
        <v>-97.708568502209005</v>
      </c>
      <c r="L439" s="16" t="str">
        <f>HYPERLINK("https://maps.google.com/?q=17.506575564777,-97.708568502209", "🔗 Ver Mapa")</f>
        <v>🔗 Ver Mapa</v>
      </c>
    </row>
    <row r="440" spans="1:12" ht="43.5" x14ac:dyDescent="0.35">
      <c r="A440" s="6" t="s">
        <v>270</v>
      </c>
      <c r="B440" s="6" t="s">
        <v>271</v>
      </c>
      <c r="C440" s="6" t="s">
        <v>306</v>
      </c>
      <c r="D440" s="11" t="s">
        <v>273</v>
      </c>
      <c r="E440" s="17" t="s">
        <v>73</v>
      </c>
      <c r="F440" s="17" t="s">
        <v>81</v>
      </c>
      <c r="G440" s="11" t="s">
        <v>298</v>
      </c>
      <c r="H440" s="11" t="s">
        <v>307</v>
      </c>
      <c r="I440" s="17" t="s">
        <v>138</v>
      </c>
      <c r="J440" s="17">
        <v>17.506723999999998</v>
      </c>
      <c r="K440" s="17">
        <v>-97.713944999999995</v>
      </c>
      <c r="L440" s="17" t="str">
        <f>HYPERLINK("https://maps.google.com/?q=17.506724,-97.713945", "🔗 Ver Mapa")</f>
        <v>🔗 Ver Mapa</v>
      </c>
    </row>
    <row r="441" spans="1:12" ht="43.5" x14ac:dyDescent="0.35">
      <c r="A441" s="5" t="s">
        <v>270</v>
      </c>
      <c r="B441" s="5" t="s">
        <v>271</v>
      </c>
      <c r="C441" s="5" t="s">
        <v>306</v>
      </c>
      <c r="D441" s="8" t="s">
        <v>273</v>
      </c>
      <c r="E441" s="16" t="s">
        <v>73</v>
      </c>
      <c r="F441" s="16" t="s">
        <v>81</v>
      </c>
      <c r="G441" s="8" t="s">
        <v>298</v>
      </c>
      <c r="H441" s="8" t="s">
        <v>307</v>
      </c>
      <c r="I441" s="16" t="s">
        <v>138</v>
      </c>
      <c r="J441" s="16">
        <v>17.507603680477999</v>
      </c>
      <c r="K441" s="16">
        <v>-97.708975705523002</v>
      </c>
      <c r="L441" s="16" t="str">
        <f>HYPERLINK("https://maps.google.com/?q=17.507603680478,-97.708975705523", "🔗 Ver Mapa")</f>
        <v>🔗 Ver Mapa</v>
      </c>
    </row>
    <row r="442" spans="1:12" ht="43.5" x14ac:dyDescent="0.35">
      <c r="A442" s="6" t="s">
        <v>270</v>
      </c>
      <c r="B442" s="6" t="s">
        <v>271</v>
      </c>
      <c r="C442" s="6" t="s">
        <v>306</v>
      </c>
      <c r="D442" s="11" t="s">
        <v>273</v>
      </c>
      <c r="E442" s="17" t="s">
        <v>73</v>
      </c>
      <c r="F442" s="17" t="s">
        <v>81</v>
      </c>
      <c r="G442" s="11" t="s">
        <v>298</v>
      </c>
      <c r="H442" s="11" t="s">
        <v>307</v>
      </c>
      <c r="I442" s="17" t="s">
        <v>138</v>
      </c>
      <c r="J442" s="17">
        <v>17.507633884311002</v>
      </c>
      <c r="K442" s="17">
        <v>-97.709065734663994</v>
      </c>
      <c r="L442" s="17" t="str">
        <f>HYPERLINK("https://maps.google.com/?q=17.507633884311,-97.709065734664", "🔗 Ver Mapa")</f>
        <v>🔗 Ver Mapa</v>
      </c>
    </row>
    <row r="443" spans="1:12" ht="43.5" x14ac:dyDescent="0.35">
      <c r="A443" s="5" t="s">
        <v>270</v>
      </c>
      <c r="B443" s="5" t="s">
        <v>271</v>
      </c>
      <c r="C443" s="5" t="s">
        <v>306</v>
      </c>
      <c r="D443" s="8" t="s">
        <v>273</v>
      </c>
      <c r="E443" s="16" t="s">
        <v>73</v>
      </c>
      <c r="F443" s="16" t="s">
        <v>81</v>
      </c>
      <c r="G443" s="8" t="s">
        <v>298</v>
      </c>
      <c r="H443" s="8" t="s">
        <v>307</v>
      </c>
      <c r="I443" s="16" t="s">
        <v>138</v>
      </c>
      <c r="J443" s="16">
        <v>17.507942648882</v>
      </c>
      <c r="K443" s="16">
        <v>-97.708688053201996</v>
      </c>
      <c r="L443" s="16" t="str">
        <f>HYPERLINK("https://maps.google.com/?q=17.507942648882,-97.708688053202", "🔗 Ver Mapa")</f>
        <v>🔗 Ver Mapa</v>
      </c>
    </row>
    <row r="444" spans="1:12" ht="43.5" x14ac:dyDescent="0.35">
      <c r="A444" s="6" t="s">
        <v>270</v>
      </c>
      <c r="B444" s="6" t="s">
        <v>271</v>
      </c>
      <c r="C444" s="6" t="s">
        <v>306</v>
      </c>
      <c r="D444" s="11" t="s">
        <v>273</v>
      </c>
      <c r="E444" s="17" t="s">
        <v>73</v>
      </c>
      <c r="F444" s="17" t="s">
        <v>81</v>
      </c>
      <c r="G444" s="11" t="s">
        <v>298</v>
      </c>
      <c r="H444" s="11" t="s">
        <v>307</v>
      </c>
      <c r="I444" s="17" t="s">
        <v>138</v>
      </c>
      <c r="J444" s="17">
        <v>17.508177</v>
      </c>
      <c r="K444" s="17">
        <v>-97.709244999999996</v>
      </c>
      <c r="L444" s="17" t="str">
        <f>HYPERLINK("https://maps.google.com/?q=17.508177,-97.709245", "🔗 Ver Mapa")</f>
        <v>🔗 Ver Mapa</v>
      </c>
    </row>
    <row r="445" spans="1:12" ht="43.5" x14ac:dyDescent="0.35">
      <c r="A445" s="5" t="s">
        <v>270</v>
      </c>
      <c r="B445" s="5" t="s">
        <v>271</v>
      </c>
      <c r="C445" s="5" t="s">
        <v>306</v>
      </c>
      <c r="D445" s="8" t="s">
        <v>273</v>
      </c>
      <c r="E445" s="16" t="s">
        <v>73</v>
      </c>
      <c r="F445" s="16" t="s">
        <v>81</v>
      </c>
      <c r="G445" s="8" t="s">
        <v>298</v>
      </c>
      <c r="H445" s="8" t="s">
        <v>307</v>
      </c>
      <c r="I445" s="16" t="s">
        <v>138</v>
      </c>
      <c r="J445" s="16">
        <v>17.508393598657999</v>
      </c>
      <c r="K445" s="16">
        <v>-97.707301585522998</v>
      </c>
      <c r="L445" s="16" t="str">
        <f>HYPERLINK("https://maps.google.com/?q=17.508393598658,-97.707301585523", "🔗 Ver Mapa")</f>
        <v>🔗 Ver Mapa</v>
      </c>
    </row>
    <row r="446" spans="1:12" ht="43.5" x14ac:dyDescent="0.35">
      <c r="A446" s="6" t="s">
        <v>270</v>
      </c>
      <c r="B446" s="6" t="s">
        <v>271</v>
      </c>
      <c r="C446" s="6" t="s">
        <v>306</v>
      </c>
      <c r="D446" s="11" t="s">
        <v>273</v>
      </c>
      <c r="E446" s="17" t="s">
        <v>73</v>
      </c>
      <c r="F446" s="17" t="s">
        <v>81</v>
      </c>
      <c r="G446" s="11" t="s">
        <v>298</v>
      </c>
      <c r="H446" s="11" t="s">
        <v>307</v>
      </c>
      <c r="I446" s="17" t="s">
        <v>138</v>
      </c>
      <c r="J446" s="17">
        <v>17.508544919346001</v>
      </c>
      <c r="K446" s="17">
        <v>-97.712337331480001</v>
      </c>
      <c r="L446" s="17" t="str">
        <f>HYPERLINK("https://maps.google.com/?q=17.508544919346,-97.71233733148", "🔗 Ver Mapa")</f>
        <v>🔗 Ver Mapa</v>
      </c>
    </row>
    <row r="447" spans="1:12" ht="43.5" x14ac:dyDescent="0.35">
      <c r="A447" s="5" t="s">
        <v>270</v>
      </c>
      <c r="B447" s="5" t="s">
        <v>271</v>
      </c>
      <c r="C447" s="5" t="s">
        <v>306</v>
      </c>
      <c r="D447" s="8" t="s">
        <v>273</v>
      </c>
      <c r="E447" s="16" t="s">
        <v>73</v>
      </c>
      <c r="F447" s="16" t="s">
        <v>81</v>
      </c>
      <c r="G447" s="8" t="s">
        <v>298</v>
      </c>
      <c r="H447" s="8" t="s">
        <v>307</v>
      </c>
      <c r="I447" s="16" t="s">
        <v>138</v>
      </c>
      <c r="J447" s="16">
        <v>17.508999210212998</v>
      </c>
      <c r="K447" s="16">
        <v>-97.712325220794995</v>
      </c>
      <c r="L447" s="16" t="str">
        <f>HYPERLINK("https://maps.google.com/?q=17.508999210213,-97.712325220795", "🔗 Ver Mapa")</f>
        <v>🔗 Ver Mapa</v>
      </c>
    </row>
    <row r="448" spans="1:12" ht="43.5" x14ac:dyDescent="0.35">
      <c r="A448" s="6" t="s">
        <v>270</v>
      </c>
      <c r="B448" s="6" t="s">
        <v>271</v>
      </c>
      <c r="C448" s="6" t="s">
        <v>306</v>
      </c>
      <c r="D448" s="11" t="s">
        <v>273</v>
      </c>
      <c r="E448" s="17" t="s">
        <v>73</v>
      </c>
      <c r="F448" s="17" t="s">
        <v>81</v>
      </c>
      <c r="G448" s="11" t="s">
        <v>298</v>
      </c>
      <c r="H448" s="11" t="s">
        <v>307</v>
      </c>
      <c r="I448" s="17" t="s">
        <v>138</v>
      </c>
      <c r="J448" s="17">
        <v>17.509629235925001</v>
      </c>
      <c r="K448" s="17">
        <v>-97.712298804084995</v>
      </c>
      <c r="L448" s="17" t="str">
        <f>HYPERLINK("https://maps.google.com/?q=17.509629235925,-97.712298804085", "🔗 Ver Mapa")</f>
        <v>🔗 Ver Mapa</v>
      </c>
    </row>
    <row r="449" spans="1:12" ht="43.5" x14ac:dyDescent="0.35">
      <c r="A449" s="5" t="s">
        <v>270</v>
      </c>
      <c r="B449" s="5" t="s">
        <v>271</v>
      </c>
      <c r="C449" s="5" t="s">
        <v>306</v>
      </c>
      <c r="D449" s="8" t="s">
        <v>273</v>
      </c>
      <c r="E449" s="16" t="s">
        <v>73</v>
      </c>
      <c r="F449" s="16" t="s">
        <v>81</v>
      </c>
      <c r="G449" s="8" t="s">
        <v>298</v>
      </c>
      <c r="H449" s="8" t="s">
        <v>307</v>
      </c>
      <c r="I449" s="16" t="s">
        <v>138</v>
      </c>
      <c r="J449" s="16">
        <v>17.509668172931999</v>
      </c>
      <c r="K449" s="16">
        <v>-97.708417847537007</v>
      </c>
      <c r="L449" s="16" t="str">
        <f>HYPERLINK("https://maps.google.com/?q=17.509668172932,-97.708417847537", "🔗 Ver Mapa")</f>
        <v>🔗 Ver Mapa</v>
      </c>
    </row>
    <row r="450" spans="1:12" ht="43.5" x14ac:dyDescent="0.35">
      <c r="A450" s="6" t="s">
        <v>270</v>
      </c>
      <c r="B450" s="6" t="s">
        <v>271</v>
      </c>
      <c r="C450" s="6" t="s">
        <v>306</v>
      </c>
      <c r="D450" s="11" t="s">
        <v>273</v>
      </c>
      <c r="E450" s="17" t="s">
        <v>73</v>
      </c>
      <c r="F450" s="17" t="s">
        <v>81</v>
      </c>
      <c r="G450" s="11" t="s">
        <v>298</v>
      </c>
      <c r="H450" s="11" t="s">
        <v>307</v>
      </c>
      <c r="I450" s="17" t="s">
        <v>138</v>
      </c>
      <c r="J450" s="17">
        <v>17.511876212613</v>
      </c>
      <c r="K450" s="17">
        <v>-97.712384297767997</v>
      </c>
      <c r="L450" s="17" t="str">
        <f>HYPERLINK("https://maps.google.com/?q=17.511876212613,-97.712384297768", "🔗 Ver Mapa")</f>
        <v>🔗 Ver Mapa</v>
      </c>
    </row>
    <row r="451" spans="1:12" ht="43.5" x14ac:dyDescent="0.35">
      <c r="A451" s="5" t="s">
        <v>270</v>
      </c>
      <c r="B451" s="5" t="s">
        <v>271</v>
      </c>
      <c r="C451" s="5" t="s">
        <v>306</v>
      </c>
      <c r="D451" s="8" t="s">
        <v>273</v>
      </c>
      <c r="E451" s="16" t="s">
        <v>73</v>
      </c>
      <c r="F451" s="16" t="s">
        <v>81</v>
      </c>
      <c r="G451" s="8" t="s">
        <v>298</v>
      </c>
      <c r="H451" s="8" t="s">
        <v>307</v>
      </c>
      <c r="I451" s="16" t="s">
        <v>138</v>
      </c>
      <c r="J451" s="16">
        <v>17.512974706866</v>
      </c>
      <c r="K451" s="16">
        <v>-97.711028193852997</v>
      </c>
      <c r="L451" s="16" t="str">
        <f>HYPERLINK("https://maps.google.com/?q=17.512974706866,-97.711028193853", "🔗 Ver Mapa")</f>
        <v>🔗 Ver Mapa</v>
      </c>
    </row>
    <row r="452" spans="1:12" ht="43.5" x14ac:dyDescent="0.35">
      <c r="A452" s="6" t="s">
        <v>270</v>
      </c>
      <c r="B452" s="6" t="s">
        <v>271</v>
      </c>
      <c r="C452" s="6" t="s">
        <v>308</v>
      </c>
      <c r="D452" s="11" t="s">
        <v>273</v>
      </c>
      <c r="E452" s="17" t="s">
        <v>73</v>
      </c>
      <c r="F452" s="17" t="s">
        <v>81</v>
      </c>
      <c r="G452" s="11" t="s">
        <v>298</v>
      </c>
      <c r="H452" s="11" t="s">
        <v>309</v>
      </c>
      <c r="I452" s="17" t="s">
        <v>138</v>
      </c>
      <c r="J452" s="17"/>
      <c r="K452" s="17"/>
      <c r="L452" s="17" t="e">
        <f>HYPERLINK("", "🔗 Ver Mapa")</f>
        <v>#REF!</v>
      </c>
    </row>
    <row r="453" spans="1:12" ht="43.5" x14ac:dyDescent="0.35">
      <c r="A453" s="5" t="s">
        <v>270</v>
      </c>
      <c r="B453" s="5" t="s">
        <v>271</v>
      </c>
      <c r="C453" s="5" t="s">
        <v>308</v>
      </c>
      <c r="D453" s="8" t="s">
        <v>273</v>
      </c>
      <c r="E453" s="16" t="s">
        <v>73</v>
      </c>
      <c r="F453" s="16" t="s">
        <v>81</v>
      </c>
      <c r="G453" s="8" t="s">
        <v>298</v>
      </c>
      <c r="H453" s="8" t="s">
        <v>309</v>
      </c>
      <c r="I453" s="16" t="s">
        <v>138</v>
      </c>
      <c r="J453" s="16">
        <v>17.489605888852999</v>
      </c>
      <c r="K453" s="16">
        <v>-97.724349801266001</v>
      </c>
      <c r="L453" s="16" t="str">
        <f>HYPERLINK("https://maps.google.com/?q=17.489605888853,-97.724349801266", "🔗 Ver Mapa")</f>
        <v>🔗 Ver Mapa</v>
      </c>
    </row>
    <row r="454" spans="1:12" ht="43.5" x14ac:dyDescent="0.35">
      <c r="A454" s="6" t="s">
        <v>270</v>
      </c>
      <c r="B454" s="6" t="s">
        <v>271</v>
      </c>
      <c r="C454" s="6" t="s">
        <v>308</v>
      </c>
      <c r="D454" s="11" t="s">
        <v>273</v>
      </c>
      <c r="E454" s="17" t="s">
        <v>73</v>
      </c>
      <c r="F454" s="17" t="s">
        <v>81</v>
      </c>
      <c r="G454" s="11" t="s">
        <v>298</v>
      </c>
      <c r="H454" s="11" t="s">
        <v>309</v>
      </c>
      <c r="I454" s="17" t="s">
        <v>138</v>
      </c>
      <c r="J454" s="17">
        <v>17.490213143017002</v>
      </c>
      <c r="K454" s="17">
        <v>-97.728781387731004</v>
      </c>
      <c r="L454" s="17" t="str">
        <f>HYPERLINK("https://maps.google.com/?q=17.490213143017,-97.728781387731", "🔗 Ver Mapa")</f>
        <v>🔗 Ver Mapa</v>
      </c>
    </row>
    <row r="455" spans="1:12" ht="43.5" x14ac:dyDescent="0.35">
      <c r="A455" s="5" t="s">
        <v>270</v>
      </c>
      <c r="B455" s="5" t="s">
        <v>271</v>
      </c>
      <c r="C455" s="5" t="s">
        <v>308</v>
      </c>
      <c r="D455" s="8" t="s">
        <v>273</v>
      </c>
      <c r="E455" s="16" t="s">
        <v>73</v>
      </c>
      <c r="F455" s="16" t="s">
        <v>81</v>
      </c>
      <c r="G455" s="8" t="s">
        <v>298</v>
      </c>
      <c r="H455" s="8" t="s">
        <v>309</v>
      </c>
      <c r="I455" s="16" t="s">
        <v>138</v>
      </c>
      <c r="J455" s="16">
        <v>17.490384095326</v>
      </c>
      <c r="K455" s="16">
        <v>-97.729694411045003</v>
      </c>
      <c r="L455" s="16" t="str">
        <f>HYPERLINK("https://maps.google.com/?q=17.490384095326,-97.729694411045", "🔗 Ver Mapa")</f>
        <v>🔗 Ver Mapa</v>
      </c>
    </row>
    <row r="456" spans="1:12" ht="43.5" x14ac:dyDescent="0.35">
      <c r="A456" s="6" t="s">
        <v>270</v>
      </c>
      <c r="B456" s="6" t="s">
        <v>271</v>
      </c>
      <c r="C456" s="6" t="s">
        <v>308</v>
      </c>
      <c r="D456" s="11" t="s">
        <v>273</v>
      </c>
      <c r="E456" s="17" t="s">
        <v>73</v>
      </c>
      <c r="F456" s="17" t="s">
        <v>81</v>
      </c>
      <c r="G456" s="11" t="s">
        <v>298</v>
      </c>
      <c r="H456" s="11" t="s">
        <v>309</v>
      </c>
      <c r="I456" s="17" t="s">
        <v>138</v>
      </c>
      <c r="J456" s="17">
        <v>17.490534157275999</v>
      </c>
      <c r="K456" s="17">
        <v>-97.728231416924004</v>
      </c>
      <c r="L456" s="17" t="str">
        <f>HYPERLINK("https://maps.google.com/?q=17.490534157276,-97.728231416924", "🔗 Ver Mapa")</f>
        <v>🔗 Ver Mapa</v>
      </c>
    </row>
    <row r="457" spans="1:12" ht="43.5" x14ac:dyDescent="0.35">
      <c r="A457" s="5" t="s">
        <v>270</v>
      </c>
      <c r="B457" s="5" t="s">
        <v>271</v>
      </c>
      <c r="C457" s="5" t="s">
        <v>308</v>
      </c>
      <c r="D457" s="8" t="s">
        <v>273</v>
      </c>
      <c r="E457" s="16" t="s">
        <v>73</v>
      </c>
      <c r="F457" s="16" t="s">
        <v>81</v>
      </c>
      <c r="G457" s="8" t="s">
        <v>298</v>
      </c>
      <c r="H457" s="8" t="s">
        <v>309</v>
      </c>
      <c r="I457" s="16" t="s">
        <v>138</v>
      </c>
      <c r="J457" s="16">
        <v>17.490861621314998</v>
      </c>
      <c r="K457" s="16">
        <v>-97.728692119745006</v>
      </c>
      <c r="L457" s="16" t="str">
        <f>HYPERLINK("https://maps.google.com/?q=17.490861621315,-97.728692119745", "🔗 Ver Mapa")</f>
        <v>🔗 Ver Mapa</v>
      </c>
    </row>
    <row r="458" spans="1:12" ht="43.5" x14ac:dyDescent="0.35">
      <c r="A458" s="6" t="s">
        <v>270</v>
      </c>
      <c r="B458" s="6" t="s">
        <v>271</v>
      </c>
      <c r="C458" s="6" t="s">
        <v>308</v>
      </c>
      <c r="D458" s="11" t="s">
        <v>273</v>
      </c>
      <c r="E458" s="17" t="s">
        <v>73</v>
      </c>
      <c r="F458" s="17" t="s">
        <v>81</v>
      </c>
      <c r="G458" s="11" t="s">
        <v>298</v>
      </c>
      <c r="H458" s="11" t="s">
        <v>309</v>
      </c>
      <c r="I458" s="17" t="s">
        <v>138</v>
      </c>
      <c r="J458" s="17">
        <v>17.491262128323001</v>
      </c>
      <c r="K458" s="17">
        <v>-97.728364879257995</v>
      </c>
      <c r="L458" s="17" t="str">
        <f>HYPERLINK("https://maps.google.com/?q=17.491262128323,-97.728364879258", "🔗 Ver Mapa")</f>
        <v>🔗 Ver Mapa</v>
      </c>
    </row>
    <row r="459" spans="1:12" ht="43.5" x14ac:dyDescent="0.35">
      <c r="A459" s="5" t="s">
        <v>270</v>
      </c>
      <c r="B459" s="5" t="s">
        <v>271</v>
      </c>
      <c r="C459" s="5" t="s">
        <v>308</v>
      </c>
      <c r="D459" s="8" t="s">
        <v>273</v>
      </c>
      <c r="E459" s="16" t="s">
        <v>73</v>
      </c>
      <c r="F459" s="16" t="s">
        <v>81</v>
      </c>
      <c r="G459" s="8" t="s">
        <v>298</v>
      </c>
      <c r="H459" s="8" t="s">
        <v>309</v>
      </c>
      <c r="I459" s="16" t="s">
        <v>138</v>
      </c>
      <c r="J459" s="16">
        <v>17.491694912716</v>
      </c>
      <c r="K459" s="16">
        <v>-97.730982913987006</v>
      </c>
      <c r="L459" s="16" t="str">
        <f>HYPERLINK("https://maps.google.com/?q=17.491694912716,-97.730982913987", "🔗 Ver Mapa")</f>
        <v>🔗 Ver Mapa</v>
      </c>
    </row>
    <row r="460" spans="1:12" ht="43.5" x14ac:dyDescent="0.35">
      <c r="A460" s="6" t="s">
        <v>270</v>
      </c>
      <c r="B460" s="6" t="s">
        <v>271</v>
      </c>
      <c r="C460" s="6" t="s">
        <v>308</v>
      </c>
      <c r="D460" s="11" t="s">
        <v>273</v>
      </c>
      <c r="E460" s="17" t="s">
        <v>73</v>
      </c>
      <c r="F460" s="17" t="s">
        <v>81</v>
      </c>
      <c r="G460" s="11" t="s">
        <v>298</v>
      </c>
      <c r="H460" s="11" t="s">
        <v>309</v>
      </c>
      <c r="I460" s="17" t="s">
        <v>138</v>
      </c>
      <c r="J460" s="17">
        <v>17.493585823273001</v>
      </c>
      <c r="K460" s="17">
        <v>-97.725368806313</v>
      </c>
      <c r="L460" s="17" t="str">
        <f>HYPERLINK("https://maps.google.com/?q=17.493585823273,-97.725368806313", "🔗 Ver Mapa")</f>
        <v>🔗 Ver Mapa</v>
      </c>
    </row>
    <row r="461" spans="1:12" ht="43.5" x14ac:dyDescent="0.35">
      <c r="A461" s="5" t="s">
        <v>270</v>
      </c>
      <c r="B461" s="5" t="s">
        <v>271</v>
      </c>
      <c r="C461" s="5" t="s">
        <v>308</v>
      </c>
      <c r="D461" s="8" t="s">
        <v>273</v>
      </c>
      <c r="E461" s="16" t="s">
        <v>73</v>
      </c>
      <c r="F461" s="16" t="s">
        <v>81</v>
      </c>
      <c r="G461" s="8" t="s">
        <v>298</v>
      </c>
      <c r="H461" s="8" t="s">
        <v>309</v>
      </c>
      <c r="I461" s="16" t="s">
        <v>138</v>
      </c>
      <c r="J461" s="16">
        <v>17.493593507351001</v>
      </c>
      <c r="K461" s="16">
        <v>-97.730445948638007</v>
      </c>
      <c r="L461" s="16" t="str">
        <f>HYPERLINK("https://maps.google.com/?q=17.493593507351,-97.730445948638", "🔗 Ver Mapa")</f>
        <v>🔗 Ver Mapa</v>
      </c>
    </row>
    <row r="462" spans="1:12" ht="43.5" x14ac:dyDescent="0.35">
      <c r="A462" s="6" t="s">
        <v>270</v>
      </c>
      <c r="B462" s="6" t="s">
        <v>271</v>
      </c>
      <c r="C462" s="6" t="s">
        <v>308</v>
      </c>
      <c r="D462" s="11" t="s">
        <v>273</v>
      </c>
      <c r="E462" s="17" t="s">
        <v>73</v>
      </c>
      <c r="F462" s="17" t="s">
        <v>81</v>
      </c>
      <c r="G462" s="11" t="s">
        <v>298</v>
      </c>
      <c r="H462" s="11" t="s">
        <v>309</v>
      </c>
      <c r="I462" s="17" t="s">
        <v>138</v>
      </c>
      <c r="J462" s="17">
        <v>17.494803503599002</v>
      </c>
      <c r="K462" s="17">
        <v>-97.725133278157003</v>
      </c>
      <c r="L462" s="17" t="str">
        <f>HYPERLINK("https://maps.google.com/?q=17.494803503599,-97.725133278157", "🔗 Ver Mapa")</f>
        <v>🔗 Ver Mapa</v>
      </c>
    </row>
    <row r="463" spans="1:12" ht="43.5" x14ac:dyDescent="0.35">
      <c r="A463" s="5" t="s">
        <v>270</v>
      </c>
      <c r="B463" s="5" t="s">
        <v>271</v>
      </c>
      <c r="C463" s="5" t="s">
        <v>308</v>
      </c>
      <c r="D463" s="8" t="s">
        <v>273</v>
      </c>
      <c r="E463" s="16" t="s">
        <v>73</v>
      </c>
      <c r="F463" s="16" t="s">
        <v>81</v>
      </c>
      <c r="G463" s="8" t="s">
        <v>298</v>
      </c>
      <c r="H463" s="8" t="s">
        <v>309</v>
      </c>
      <c r="I463" s="16" t="s">
        <v>138</v>
      </c>
      <c r="J463" s="16">
        <v>17.495287999999999</v>
      </c>
      <c r="K463" s="16"/>
      <c r="L463" s="16" t="e">
        <f>HYPERLINK("", "🔗 Ver Mapa")</f>
        <v>#REF!</v>
      </c>
    </row>
    <row r="464" spans="1:12" ht="43.5" x14ac:dyDescent="0.35">
      <c r="A464" s="6" t="s">
        <v>270</v>
      </c>
      <c r="B464" s="6" t="s">
        <v>271</v>
      </c>
      <c r="C464" s="6" t="s">
        <v>308</v>
      </c>
      <c r="D464" s="11" t="s">
        <v>273</v>
      </c>
      <c r="E464" s="17" t="s">
        <v>73</v>
      </c>
      <c r="F464" s="17" t="s">
        <v>81</v>
      </c>
      <c r="G464" s="11" t="s">
        <v>298</v>
      </c>
      <c r="H464" s="11" t="s">
        <v>309</v>
      </c>
      <c r="I464" s="17" t="s">
        <v>138</v>
      </c>
      <c r="J464" s="17">
        <v>17.495326635083</v>
      </c>
      <c r="K464" s="17">
        <v>-97.724759111656994</v>
      </c>
      <c r="L464" s="17" t="str">
        <f>HYPERLINK("https://maps.google.com/?q=17.495326635083,-97.724759111657", "🔗 Ver Mapa")</f>
        <v>🔗 Ver Mapa</v>
      </c>
    </row>
    <row r="465" spans="1:12" ht="43.5" x14ac:dyDescent="0.35">
      <c r="A465" s="5" t="s">
        <v>270</v>
      </c>
      <c r="B465" s="5" t="s">
        <v>271</v>
      </c>
      <c r="C465" s="5" t="s">
        <v>308</v>
      </c>
      <c r="D465" s="8" t="s">
        <v>273</v>
      </c>
      <c r="E465" s="16" t="s">
        <v>73</v>
      </c>
      <c r="F465" s="16" t="s">
        <v>81</v>
      </c>
      <c r="G465" s="8" t="s">
        <v>298</v>
      </c>
      <c r="H465" s="8" t="s">
        <v>309</v>
      </c>
      <c r="I465" s="16" t="s">
        <v>138</v>
      </c>
      <c r="J465" s="16">
        <v>17.500634801046001</v>
      </c>
      <c r="K465" s="16">
        <v>-97.720812258299006</v>
      </c>
      <c r="L465" s="16" t="str">
        <f>HYPERLINK("https://maps.google.com/?q=17.500634801046,-97.720812258299", "🔗 Ver Mapa")</f>
        <v>🔗 Ver Mapa</v>
      </c>
    </row>
    <row r="466" spans="1:12" ht="43.5" x14ac:dyDescent="0.35">
      <c r="A466" s="6" t="s">
        <v>270</v>
      </c>
      <c r="B466" s="6" t="s">
        <v>271</v>
      </c>
      <c r="C466" s="6" t="s">
        <v>308</v>
      </c>
      <c r="D466" s="11" t="s">
        <v>273</v>
      </c>
      <c r="E466" s="17" t="s">
        <v>73</v>
      </c>
      <c r="F466" s="17" t="s">
        <v>81</v>
      </c>
      <c r="G466" s="11" t="s">
        <v>298</v>
      </c>
      <c r="H466" s="11" t="s">
        <v>309</v>
      </c>
      <c r="I466" s="17" t="s">
        <v>138</v>
      </c>
      <c r="J466" s="17">
        <v>17.501497841816999</v>
      </c>
      <c r="K466" s="17">
        <v>-97.719700317790995</v>
      </c>
      <c r="L466" s="17" t="str">
        <f>HYPERLINK("https://maps.google.com/?q=17.501497841817,-97.719700317791", "🔗 Ver Mapa")</f>
        <v>🔗 Ver Mapa</v>
      </c>
    </row>
    <row r="467" spans="1:12" ht="43.5" x14ac:dyDescent="0.35">
      <c r="A467" s="5" t="s">
        <v>270</v>
      </c>
      <c r="B467" s="5" t="s">
        <v>271</v>
      </c>
      <c r="C467" s="5" t="s">
        <v>308</v>
      </c>
      <c r="D467" s="8" t="s">
        <v>273</v>
      </c>
      <c r="E467" s="16" t="s">
        <v>73</v>
      </c>
      <c r="F467" s="16" t="s">
        <v>81</v>
      </c>
      <c r="G467" s="8" t="s">
        <v>298</v>
      </c>
      <c r="H467" s="8" t="s">
        <v>309</v>
      </c>
      <c r="I467" s="16" t="s">
        <v>138</v>
      </c>
      <c r="J467" s="16">
        <v>17.502333711348001</v>
      </c>
      <c r="K467" s="16">
        <v>-97.718886105029995</v>
      </c>
      <c r="L467" s="16" t="str">
        <f>HYPERLINK("https://maps.google.com/?q=17.502333711348,-97.71888610503", "🔗 Ver Mapa")</f>
        <v>🔗 Ver Mapa</v>
      </c>
    </row>
    <row r="468" spans="1:12" ht="43.5" x14ac:dyDescent="0.35">
      <c r="A468" s="6" t="s">
        <v>270</v>
      </c>
      <c r="B468" s="6" t="s">
        <v>271</v>
      </c>
      <c r="C468" s="6" t="s">
        <v>308</v>
      </c>
      <c r="D468" s="11" t="s">
        <v>273</v>
      </c>
      <c r="E468" s="17" t="s">
        <v>73</v>
      </c>
      <c r="F468" s="17" t="s">
        <v>81</v>
      </c>
      <c r="G468" s="11" t="s">
        <v>298</v>
      </c>
      <c r="H468" s="11" t="s">
        <v>309</v>
      </c>
      <c r="I468" s="17" t="s">
        <v>138</v>
      </c>
      <c r="J468" s="17">
        <v>17.503582063159001</v>
      </c>
      <c r="K468" s="17">
        <v>-97.719817761469997</v>
      </c>
      <c r="L468" s="17" t="str">
        <f>HYPERLINK("https://maps.google.com/?q=17.503582063159,-97.71981776147", "🔗 Ver Mapa")</f>
        <v>🔗 Ver Mapa</v>
      </c>
    </row>
    <row r="469" spans="1:12" ht="43.5" x14ac:dyDescent="0.35">
      <c r="A469" s="5" t="s">
        <v>270</v>
      </c>
      <c r="B469" s="5" t="s">
        <v>271</v>
      </c>
      <c r="C469" s="5" t="s">
        <v>310</v>
      </c>
      <c r="D469" s="8" t="s">
        <v>273</v>
      </c>
      <c r="E469" s="16" t="s">
        <v>73</v>
      </c>
      <c r="F469" s="16" t="s">
        <v>81</v>
      </c>
      <c r="G469" s="8" t="s">
        <v>298</v>
      </c>
      <c r="H469" s="8" t="s">
        <v>311</v>
      </c>
      <c r="I469" s="16" t="s">
        <v>138</v>
      </c>
      <c r="J469" s="16"/>
      <c r="K469" s="16">
        <v>-97.715274364417994</v>
      </c>
      <c r="L469" s="16" t="e">
        <f>HYPERLINK("", "🔗 Ver Mapa")</f>
        <v>#REF!</v>
      </c>
    </row>
    <row r="470" spans="1:12" ht="43.5" x14ac:dyDescent="0.35">
      <c r="A470" s="6" t="s">
        <v>270</v>
      </c>
      <c r="B470" s="6" t="s">
        <v>271</v>
      </c>
      <c r="C470" s="6" t="s">
        <v>310</v>
      </c>
      <c r="D470" s="11" t="s">
        <v>273</v>
      </c>
      <c r="E470" s="17" t="s">
        <v>73</v>
      </c>
      <c r="F470" s="17" t="s">
        <v>81</v>
      </c>
      <c r="G470" s="11" t="s">
        <v>298</v>
      </c>
      <c r="H470" s="11" t="s">
        <v>311</v>
      </c>
      <c r="I470" s="17" t="s">
        <v>138</v>
      </c>
      <c r="J470" s="17">
        <v>17.481419444419</v>
      </c>
      <c r="K470" s="17">
        <v>-97.709492999999995</v>
      </c>
      <c r="L470" s="17" t="str">
        <f>HYPERLINK("https://maps.google.com/?q=17.481419444419,-97.709493", "🔗 Ver Mapa")</f>
        <v>🔗 Ver Mapa</v>
      </c>
    </row>
    <row r="471" spans="1:12" ht="43.5" x14ac:dyDescent="0.35">
      <c r="A471" s="5" t="s">
        <v>270</v>
      </c>
      <c r="B471" s="5" t="s">
        <v>271</v>
      </c>
      <c r="C471" s="5" t="s">
        <v>310</v>
      </c>
      <c r="D471" s="8" t="s">
        <v>273</v>
      </c>
      <c r="E471" s="16" t="s">
        <v>73</v>
      </c>
      <c r="F471" s="16" t="s">
        <v>81</v>
      </c>
      <c r="G471" s="8" t="s">
        <v>298</v>
      </c>
      <c r="H471" s="8" t="s">
        <v>311</v>
      </c>
      <c r="I471" s="16" t="s">
        <v>138</v>
      </c>
      <c r="J471" s="16">
        <v>17.481834469340001</v>
      </c>
      <c r="K471" s="16">
        <v>-97.708250565640995</v>
      </c>
      <c r="L471" s="16" t="str">
        <f>HYPERLINK("https://maps.google.com/?q=17.48183446934,-97.708250565641", "🔗 Ver Mapa")</f>
        <v>🔗 Ver Mapa</v>
      </c>
    </row>
    <row r="472" spans="1:12" ht="43.5" x14ac:dyDescent="0.35">
      <c r="A472" s="6" t="s">
        <v>270</v>
      </c>
      <c r="B472" s="6" t="s">
        <v>271</v>
      </c>
      <c r="C472" s="6" t="s">
        <v>310</v>
      </c>
      <c r="D472" s="11" t="s">
        <v>273</v>
      </c>
      <c r="E472" s="17" t="s">
        <v>73</v>
      </c>
      <c r="F472" s="17" t="s">
        <v>81</v>
      </c>
      <c r="G472" s="11" t="s">
        <v>298</v>
      </c>
      <c r="H472" s="11" t="s">
        <v>311</v>
      </c>
      <c r="I472" s="17" t="s">
        <v>138</v>
      </c>
      <c r="J472" s="17">
        <v>17.481867000000001</v>
      </c>
      <c r="K472" s="17">
        <v>-97.709051000000002</v>
      </c>
      <c r="L472" s="17" t="str">
        <f>HYPERLINK("https://maps.google.com/?q=17.481867,-97.709051", "🔗 Ver Mapa")</f>
        <v>🔗 Ver Mapa</v>
      </c>
    </row>
    <row r="473" spans="1:12" ht="43.5" x14ac:dyDescent="0.35">
      <c r="A473" s="5" t="s">
        <v>270</v>
      </c>
      <c r="B473" s="5" t="s">
        <v>271</v>
      </c>
      <c r="C473" s="5" t="s">
        <v>310</v>
      </c>
      <c r="D473" s="8" t="s">
        <v>273</v>
      </c>
      <c r="E473" s="16" t="s">
        <v>73</v>
      </c>
      <c r="F473" s="16" t="s">
        <v>81</v>
      </c>
      <c r="G473" s="8" t="s">
        <v>298</v>
      </c>
      <c r="H473" s="8" t="s">
        <v>311</v>
      </c>
      <c r="I473" s="16" t="s">
        <v>138</v>
      </c>
      <c r="J473" s="16">
        <v>17.484252465840001</v>
      </c>
      <c r="K473" s="16">
        <v>-97.717773177910004</v>
      </c>
      <c r="L473" s="16" t="str">
        <f>HYPERLINK("https://maps.google.com/?q=17.48425246584,-97.71777317791", "🔗 Ver Mapa")</f>
        <v>🔗 Ver Mapa</v>
      </c>
    </row>
    <row r="474" spans="1:12" ht="43.5" x14ac:dyDescent="0.35">
      <c r="A474" s="6" t="s">
        <v>270</v>
      </c>
      <c r="B474" s="6" t="s">
        <v>271</v>
      </c>
      <c r="C474" s="6" t="s">
        <v>310</v>
      </c>
      <c r="D474" s="11" t="s">
        <v>273</v>
      </c>
      <c r="E474" s="17" t="s">
        <v>73</v>
      </c>
      <c r="F474" s="17" t="s">
        <v>81</v>
      </c>
      <c r="G474" s="11" t="s">
        <v>298</v>
      </c>
      <c r="H474" s="11" t="s">
        <v>311</v>
      </c>
      <c r="I474" s="17" t="s">
        <v>138</v>
      </c>
      <c r="J474" s="17">
        <v>17.484956468989001</v>
      </c>
      <c r="K474" s="17">
        <v>-97.715077982802995</v>
      </c>
      <c r="L474" s="17" t="str">
        <f>HYPERLINK("https://maps.google.com/?q=17.484956468989,-97.715077982803", "🔗 Ver Mapa")</f>
        <v>🔗 Ver Mapa</v>
      </c>
    </row>
    <row r="475" spans="1:12" ht="43.5" x14ac:dyDescent="0.35">
      <c r="A475" s="5" t="s">
        <v>270</v>
      </c>
      <c r="B475" s="5" t="s">
        <v>271</v>
      </c>
      <c r="C475" s="5" t="s">
        <v>310</v>
      </c>
      <c r="D475" s="8" t="s">
        <v>273</v>
      </c>
      <c r="E475" s="16" t="s">
        <v>73</v>
      </c>
      <c r="F475" s="16" t="s">
        <v>81</v>
      </c>
      <c r="G475" s="8" t="s">
        <v>298</v>
      </c>
      <c r="H475" s="8" t="s">
        <v>311</v>
      </c>
      <c r="I475" s="16" t="s">
        <v>138</v>
      </c>
      <c r="J475" s="16">
        <v>17.489212248089999</v>
      </c>
      <c r="K475" s="16">
        <v>-97.717661627791003</v>
      </c>
      <c r="L475" s="16" t="str">
        <f>HYPERLINK("https://maps.google.com/?q=17.48921224809,-97.717661627791", "🔗 Ver Mapa")</f>
        <v>🔗 Ver Mapa</v>
      </c>
    </row>
    <row r="476" spans="1:12" ht="43.5" x14ac:dyDescent="0.35">
      <c r="A476" s="6" t="s">
        <v>270</v>
      </c>
      <c r="B476" s="6" t="s">
        <v>271</v>
      </c>
      <c r="C476" s="6" t="s">
        <v>310</v>
      </c>
      <c r="D476" s="11" t="s">
        <v>273</v>
      </c>
      <c r="E476" s="17" t="s">
        <v>73</v>
      </c>
      <c r="F476" s="17" t="s">
        <v>81</v>
      </c>
      <c r="G476" s="11" t="s">
        <v>298</v>
      </c>
      <c r="H476" s="11" t="s">
        <v>311</v>
      </c>
      <c r="I476" s="17" t="s">
        <v>138</v>
      </c>
      <c r="J476" s="17">
        <v>17.490007788220002</v>
      </c>
      <c r="K476" s="17">
        <v>-97.718056438692997</v>
      </c>
      <c r="L476" s="17" t="str">
        <f>HYPERLINK("https://maps.google.com/?q=17.49000778822,-97.718056438693", "🔗 Ver Mapa")</f>
        <v>🔗 Ver Mapa</v>
      </c>
    </row>
    <row r="477" spans="1:12" ht="43.5" x14ac:dyDescent="0.35">
      <c r="A477" s="5" t="s">
        <v>270</v>
      </c>
      <c r="B477" s="5" t="s">
        <v>271</v>
      </c>
      <c r="C477" s="5" t="s">
        <v>310</v>
      </c>
      <c r="D477" s="8" t="s">
        <v>273</v>
      </c>
      <c r="E477" s="16" t="s">
        <v>73</v>
      </c>
      <c r="F477" s="16" t="s">
        <v>81</v>
      </c>
      <c r="G477" s="8" t="s">
        <v>298</v>
      </c>
      <c r="H477" s="8" t="s">
        <v>311</v>
      </c>
      <c r="I477" s="16" t="s">
        <v>138</v>
      </c>
      <c r="J477" s="16">
        <v>17.490177444543001</v>
      </c>
      <c r="K477" s="16">
        <v>-97.716967912209</v>
      </c>
      <c r="L477" s="16" t="str">
        <f>HYPERLINK("https://maps.google.com/?q=17.490177444543,-97.716967912209", "🔗 Ver Mapa")</f>
        <v>🔗 Ver Mapa</v>
      </c>
    </row>
    <row r="478" spans="1:12" ht="43.5" x14ac:dyDescent="0.35">
      <c r="A478" s="6" t="s">
        <v>270</v>
      </c>
      <c r="B478" s="6" t="s">
        <v>271</v>
      </c>
      <c r="C478" s="6" t="s">
        <v>310</v>
      </c>
      <c r="D478" s="11" t="s">
        <v>273</v>
      </c>
      <c r="E478" s="17" t="s">
        <v>73</v>
      </c>
      <c r="F478" s="17" t="s">
        <v>81</v>
      </c>
      <c r="G478" s="11" t="s">
        <v>298</v>
      </c>
      <c r="H478" s="11" t="s">
        <v>311</v>
      </c>
      <c r="I478" s="17" t="s">
        <v>138</v>
      </c>
      <c r="J478" s="17">
        <v>17.490368492119</v>
      </c>
      <c r="K478" s="17">
        <v>-97.719018008136999</v>
      </c>
      <c r="L478" s="17" t="str">
        <f>HYPERLINK("https://maps.google.com/?q=17.490368492119,-97.719018008137", "🔗 Ver Mapa")</f>
        <v>🔗 Ver Mapa</v>
      </c>
    </row>
    <row r="479" spans="1:12" ht="43.5" x14ac:dyDescent="0.35">
      <c r="A479" s="5" t="s">
        <v>270</v>
      </c>
      <c r="B479" s="5" t="s">
        <v>271</v>
      </c>
      <c r="C479" s="5" t="s">
        <v>310</v>
      </c>
      <c r="D479" s="8" t="s">
        <v>273</v>
      </c>
      <c r="E479" s="16" t="s">
        <v>73</v>
      </c>
      <c r="F479" s="16" t="s">
        <v>81</v>
      </c>
      <c r="G479" s="8" t="s">
        <v>298</v>
      </c>
      <c r="H479" s="8" t="s">
        <v>311</v>
      </c>
      <c r="I479" s="16" t="s">
        <v>138</v>
      </c>
      <c r="J479" s="16">
        <v>17.49060218799</v>
      </c>
      <c r="K479" s="16">
        <v>-97.717220326735998</v>
      </c>
      <c r="L479" s="16" t="str">
        <f>HYPERLINK("https://maps.google.com/?q=17.49060218799,-97.717220326736", "🔗 Ver Mapa")</f>
        <v>🔗 Ver Mapa</v>
      </c>
    </row>
    <row r="480" spans="1:12" ht="43.5" x14ac:dyDescent="0.35">
      <c r="A480" s="6" t="s">
        <v>270</v>
      </c>
      <c r="B480" s="6" t="s">
        <v>271</v>
      </c>
      <c r="C480" s="6" t="s">
        <v>310</v>
      </c>
      <c r="D480" s="11" t="s">
        <v>273</v>
      </c>
      <c r="E480" s="17" t="s">
        <v>73</v>
      </c>
      <c r="F480" s="17" t="s">
        <v>81</v>
      </c>
      <c r="G480" s="11" t="s">
        <v>298</v>
      </c>
      <c r="H480" s="11" t="s">
        <v>311</v>
      </c>
      <c r="I480" s="17" t="s">
        <v>138</v>
      </c>
      <c r="J480" s="17">
        <v>17.490839383137001</v>
      </c>
      <c r="K480" s="17">
        <v>-97.717098094823996</v>
      </c>
      <c r="L480" s="17" t="str">
        <f>HYPERLINK("https://maps.google.com/?q=17.490839383137,-97.717098094824", "🔗 Ver Mapa")</f>
        <v>🔗 Ver Mapa</v>
      </c>
    </row>
    <row r="481" spans="1:12" ht="43.5" x14ac:dyDescent="0.35">
      <c r="A481" s="5" t="s">
        <v>270</v>
      </c>
      <c r="B481" s="5" t="s">
        <v>271</v>
      </c>
      <c r="C481" s="5" t="s">
        <v>310</v>
      </c>
      <c r="D481" s="8" t="s">
        <v>273</v>
      </c>
      <c r="E481" s="16" t="s">
        <v>73</v>
      </c>
      <c r="F481" s="16" t="s">
        <v>81</v>
      </c>
      <c r="G481" s="8" t="s">
        <v>298</v>
      </c>
      <c r="H481" s="8" t="s">
        <v>311</v>
      </c>
      <c r="I481" s="16" t="s">
        <v>138</v>
      </c>
      <c r="J481" s="16">
        <v>17.491837794614</v>
      </c>
      <c r="K481" s="16">
        <v>-97.714817067458995</v>
      </c>
      <c r="L481" s="16" t="str">
        <f>HYPERLINK("https://maps.google.com/?q=17.491837794614,-97.714817067459", "🔗 Ver Mapa")</f>
        <v>🔗 Ver Mapa</v>
      </c>
    </row>
    <row r="482" spans="1:12" ht="43.5" x14ac:dyDescent="0.35">
      <c r="A482" s="6" t="s">
        <v>270</v>
      </c>
      <c r="B482" s="6" t="s">
        <v>271</v>
      </c>
      <c r="C482" s="6" t="s">
        <v>310</v>
      </c>
      <c r="D482" s="11" t="s">
        <v>273</v>
      </c>
      <c r="E482" s="17" t="s">
        <v>73</v>
      </c>
      <c r="F482" s="17" t="s">
        <v>81</v>
      </c>
      <c r="G482" s="11" t="s">
        <v>298</v>
      </c>
      <c r="H482" s="11" t="s">
        <v>311</v>
      </c>
      <c r="I482" s="17" t="s">
        <v>138</v>
      </c>
      <c r="J482" s="17">
        <v>17.491983680051</v>
      </c>
      <c r="K482" s="17">
        <v>-97.717868617058002</v>
      </c>
      <c r="L482" s="17" t="str">
        <f>HYPERLINK("https://maps.google.com/?q=17.491983680051,-97.717868617058", "🔗 Ver Mapa")</f>
        <v>🔗 Ver Mapa</v>
      </c>
    </row>
    <row r="483" spans="1:12" ht="43.5" x14ac:dyDescent="0.35">
      <c r="A483" s="5" t="s">
        <v>270</v>
      </c>
      <c r="B483" s="5" t="s">
        <v>271</v>
      </c>
      <c r="C483" s="5" t="s">
        <v>310</v>
      </c>
      <c r="D483" s="8" t="s">
        <v>273</v>
      </c>
      <c r="E483" s="16" t="s">
        <v>73</v>
      </c>
      <c r="F483" s="16" t="s">
        <v>81</v>
      </c>
      <c r="G483" s="8" t="s">
        <v>298</v>
      </c>
      <c r="H483" s="8" t="s">
        <v>311</v>
      </c>
      <c r="I483" s="16" t="s">
        <v>138</v>
      </c>
      <c r="J483" s="16">
        <v>17.492875514508999</v>
      </c>
      <c r="K483" s="16">
        <v>-97.714215512896999</v>
      </c>
      <c r="L483" s="16" t="str">
        <f>HYPERLINK("https://maps.google.com/?q=17.492875514509,-97.714215512897", "🔗 Ver Mapa")</f>
        <v>🔗 Ver Mapa</v>
      </c>
    </row>
    <row r="484" spans="1:12" ht="43.5" x14ac:dyDescent="0.35">
      <c r="A484" s="6" t="s">
        <v>270</v>
      </c>
      <c r="B484" s="6" t="s">
        <v>271</v>
      </c>
      <c r="C484" s="6" t="s">
        <v>310</v>
      </c>
      <c r="D484" s="11" t="s">
        <v>273</v>
      </c>
      <c r="E484" s="17" t="s">
        <v>73</v>
      </c>
      <c r="F484" s="17" t="s">
        <v>81</v>
      </c>
      <c r="G484" s="11" t="s">
        <v>298</v>
      </c>
      <c r="H484" s="11" t="s">
        <v>311</v>
      </c>
      <c r="I484" s="17" t="s">
        <v>138</v>
      </c>
      <c r="J484" s="17">
        <v>17.494681887182001</v>
      </c>
      <c r="K484" s="17">
        <v>-97.716493109024995</v>
      </c>
      <c r="L484" s="17" t="str">
        <f>HYPERLINK("https://maps.google.com/?q=17.494681887182,-97.716493109025", "🔗 Ver Mapa")</f>
        <v>🔗 Ver Mapa</v>
      </c>
    </row>
    <row r="485" spans="1:12" ht="43.5" x14ac:dyDescent="0.35">
      <c r="A485" s="5" t="s">
        <v>270</v>
      </c>
      <c r="B485" s="5" t="s">
        <v>271</v>
      </c>
      <c r="C485" s="5" t="s">
        <v>310</v>
      </c>
      <c r="D485" s="8" t="s">
        <v>273</v>
      </c>
      <c r="E485" s="16" t="s">
        <v>73</v>
      </c>
      <c r="F485" s="16" t="s">
        <v>81</v>
      </c>
      <c r="G485" s="8" t="s">
        <v>298</v>
      </c>
      <c r="H485" s="8" t="s">
        <v>311</v>
      </c>
      <c r="I485" s="16" t="s">
        <v>138</v>
      </c>
      <c r="J485" s="16">
        <v>17.495770924523001</v>
      </c>
      <c r="K485" s="16">
        <v>-97.716083407528004</v>
      </c>
      <c r="L485" s="16" t="str">
        <f>HYPERLINK("https://maps.google.com/?q=17.495770924523,-97.716083407528", "🔗 Ver Mapa")</f>
        <v>🔗 Ver Mapa</v>
      </c>
    </row>
    <row r="486" spans="1:12" ht="43.5" x14ac:dyDescent="0.35">
      <c r="A486" s="6" t="s">
        <v>270</v>
      </c>
      <c r="B486" s="6" t="s">
        <v>271</v>
      </c>
      <c r="C486" s="6" t="s">
        <v>310</v>
      </c>
      <c r="D486" s="11" t="s">
        <v>273</v>
      </c>
      <c r="E486" s="17" t="s">
        <v>73</v>
      </c>
      <c r="F486" s="17" t="s">
        <v>81</v>
      </c>
      <c r="G486" s="11" t="s">
        <v>298</v>
      </c>
      <c r="H486" s="11" t="s">
        <v>311</v>
      </c>
      <c r="I486" s="17" t="s">
        <v>138</v>
      </c>
      <c r="J486" s="17">
        <v>17.495921953671001</v>
      </c>
      <c r="K486" s="17">
        <v>-97.715858290580996</v>
      </c>
      <c r="L486" s="17" t="str">
        <f>HYPERLINK("https://maps.google.com/?q=17.495921953671,-97.715858290581", "🔗 Ver Mapa")</f>
        <v>🔗 Ver Mapa</v>
      </c>
    </row>
    <row r="487" spans="1:12" ht="43.5" x14ac:dyDescent="0.35">
      <c r="A487" s="5" t="s">
        <v>270</v>
      </c>
      <c r="B487" s="5" t="s">
        <v>271</v>
      </c>
      <c r="C487" s="5" t="s">
        <v>312</v>
      </c>
      <c r="D487" s="8" t="s">
        <v>273</v>
      </c>
      <c r="E487" s="16" t="s">
        <v>73</v>
      </c>
      <c r="F487" s="16" t="s">
        <v>81</v>
      </c>
      <c r="G487" s="8" t="s">
        <v>298</v>
      </c>
      <c r="H487" s="8" t="s">
        <v>313</v>
      </c>
      <c r="I487" s="16" t="s">
        <v>138</v>
      </c>
      <c r="J487" s="16"/>
      <c r="K487" s="16">
        <v>-97.72387607025</v>
      </c>
      <c r="L487" s="16" t="e">
        <f>HYPERLINK("", "🔗 Ver Mapa")</f>
        <v>#REF!</v>
      </c>
    </row>
    <row r="488" spans="1:12" ht="43.5" x14ac:dyDescent="0.35">
      <c r="A488" s="6" t="s">
        <v>270</v>
      </c>
      <c r="B488" s="6" t="s">
        <v>271</v>
      </c>
      <c r="C488" s="6" t="s">
        <v>312</v>
      </c>
      <c r="D488" s="11" t="s">
        <v>273</v>
      </c>
      <c r="E488" s="17" t="s">
        <v>73</v>
      </c>
      <c r="F488" s="17" t="s">
        <v>81</v>
      </c>
      <c r="G488" s="11" t="s">
        <v>298</v>
      </c>
      <c r="H488" s="11" t="s">
        <v>313</v>
      </c>
      <c r="I488" s="17" t="s">
        <v>138</v>
      </c>
      <c r="J488" s="17"/>
      <c r="K488" s="17">
        <v>-97.718359550925996</v>
      </c>
      <c r="L488" s="17" t="e">
        <f>HYPERLINK("", "🔗 Ver Mapa")</f>
        <v>#REF!</v>
      </c>
    </row>
    <row r="489" spans="1:12" ht="43.5" x14ac:dyDescent="0.35">
      <c r="A489" s="5" t="s">
        <v>270</v>
      </c>
      <c r="B489" s="5" t="s">
        <v>271</v>
      </c>
      <c r="C489" s="5" t="s">
        <v>312</v>
      </c>
      <c r="D489" s="8" t="s">
        <v>273</v>
      </c>
      <c r="E489" s="16" t="s">
        <v>73</v>
      </c>
      <c r="F489" s="16" t="s">
        <v>81</v>
      </c>
      <c r="G489" s="8" t="s">
        <v>298</v>
      </c>
      <c r="H489" s="8" t="s">
        <v>313</v>
      </c>
      <c r="I489" s="16" t="s">
        <v>138</v>
      </c>
      <c r="J489" s="16">
        <v>17.531604285322</v>
      </c>
      <c r="K489" s="16">
        <v>-97.722496742328005</v>
      </c>
      <c r="L489" s="16" t="str">
        <f>HYPERLINK("https://maps.google.com/?q=17.531604285322,-97.722496742328", "🔗 Ver Mapa")</f>
        <v>🔗 Ver Mapa</v>
      </c>
    </row>
    <row r="490" spans="1:12" ht="43.5" x14ac:dyDescent="0.35">
      <c r="A490" s="6" t="s">
        <v>270</v>
      </c>
      <c r="B490" s="6" t="s">
        <v>271</v>
      </c>
      <c r="C490" s="6" t="s">
        <v>312</v>
      </c>
      <c r="D490" s="11" t="s">
        <v>273</v>
      </c>
      <c r="E490" s="17" t="s">
        <v>73</v>
      </c>
      <c r="F490" s="17" t="s">
        <v>81</v>
      </c>
      <c r="G490" s="11" t="s">
        <v>298</v>
      </c>
      <c r="H490" s="11" t="s">
        <v>313</v>
      </c>
      <c r="I490" s="17" t="s">
        <v>138</v>
      </c>
      <c r="J490" s="17">
        <v>17.532278833496999</v>
      </c>
      <c r="K490" s="17">
        <v>-97.720267705582003</v>
      </c>
      <c r="L490" s="17" t="str">
        <f>HYPERLINK("https://maps.google.com/?q=17.532278833497,-97.720267705582", "🔗 Ver Mapa")</f>
        <v>🔗 Ver Mapa</v>
      </c>
    </row>
    <row r="491" spans="1:12" ht="43.5" x14ac:dyDescent="0.35">
      <c r="A491" s="5" t="s">
        <v>270</v>
      </c>
      <c r="B491" s="5" t="s">
        <v>271</v>
      </c>
      <c r="C491" s="5" t="s">
        <v>312</v>
      </c>
      <c r="D491" s="8" t="s">
        <v>273</v>
      </c>
      <c r="E491" s="16" t="s">
        <v>73</v>
      </c>
      <c r="F491" s="16" t="s">
        <v>81</v>
      </c>
      <c r="G491" s="8" t="s">
        <v>298</v>
      </c>
      <c r="H491" s="8" t="s">
        <v>313</v>
      </c>
      <c r="I491" s="16" t="s">
        <v>138</v>
      </c>
      <c r="J491" s="16">
        <v>17.532445078292</v>
      </c>
      <c r="K491" s="16">
        <v>-97.720065198800995</v>
      </c>
      <c r="L491" s="16" t="str">
        <f>HYPERLINK("https://maps.google.com/?q=17.532445078292,-97.720065198801", "🔗 Ver Mapa")</f>
        <v>🔗 Ver Mapa</v>
      </c>
    </row>
    <row r="492" spans="1:12" ht="43.5" x14ac:dyDescent="0.35">
      <c r="A492" s="6" t="s">
        <v>270</v>
      </c>
      <c r="B492" s="6" t="s">
        <v>271</v>
      </c>
      <c r="C492" s="6" t="s">
        <v>312</v>
      </c>
      <c r="D492" s="11" t="s">
        <v>273</v>
      </c>
      <c r="E492" s="17" t="s">
        <v>73</v>
      </c>
      <c r="F492" s="17" t="s">
        <v>81</v>
      </c>
      <c r="G492" s="11" t="s">
        <v>298</v>
      </c>
      <c r="H492" s="11" t="s">
        <v>313</v>
      </c>
      <c r="I492" s="17" t="s">
        <v>138</v>
      </c>
      <c r="J492" s="17">
        <v>17.532499999999999</v>
      </c>
      <c r="K492" s="17">
        <v>-97.721605999999994</v>
      </c>
      <c r="L492" s="17" t="str">
        <f>HYPERLINK("https://maps.google.com/?q=17.5325,-97.721606", "🔗 Ver Mapa")</f>
        <v>🔗 Ver Mapa</v>
      </c>
    </row>
    <row r="493" spans="1:12" ht="43.5" x14ac:dyDescent="0.35">
      <c r="A493" s="5" t="s">
        <v>270</v>
      </c>
      <c r="B493" s="5" t="s">
        <v>271</v>
      </c>
      <c r="C493" s="5" t="s">
        <v>312</v>
      </c>
      <c r="D493" s="8" t="s">
        <v>273</v>
      </c>
      <c r="E493" s="16" t="s">
        <v>73</v>
      </c>
      <c r="F493" s="16" t="s">
        <v>81</v>
      </c>
      <c r="G493" s="8" t="s">
        <v>298</v>
      </c>
      <c r="H493" s="8" t="s">
        <v>313</v>
      </c>
      <c r="I493" s="16" t="s">
        <v>138</v>
      </c>
      <c r="J493" s="16">
        <v>17.532782131083</v>
      </c>
      <c r="K493" s="16">
        <v>-97.718925768537005</v>
      </c>
      <c r="L493" s="16" t="str">
        <f>HYPERLINK("https://maps.google.com/?q=17.532782131083,-97.718925768537", "🔗 Ver Mapa")</f>
        <v>🔗 Ver Mapa</v>
      </c>
    </row>
    <row r="494" spans="1:12" ht="43.5" x14ac:dyDescent="0.35">
      <c r="A494" s="6" t="s">
        <v>270</v>
      </c>
      <c r="B494" s="6" t="s">
        <v>271</v>
      </c>
      <c r="C494" s="6" t="s">
        <v>312</v>
      </c>
      <c r="D494" s="11" t="s">
        <v>273</v>
      </c>
      <c r="E494" s="17" t="s">
        <v>73</v>
      </c>
      <c r="F494" s="17" t="s">
        <v>81</v>
      </c>
      <c r="G494" s="11" t="s">
        <v>298</v>
      </c>
      <c r="H494" s="11" t="s">
        <v>313</v>
      </c>
      <c r="I494" s="17" t="s">
        <v>138</v>
      </c>
      <c r="J494" s="17">
        <v>17.533099323116002</v>
      </c>
      <c r="K494" s="17">
        <v>-97.722125334987993</v>
      </c>
      <c r="L494" s="17" t="str">
        <f>HYPERLINK("https://maps.google.com/?q=17.533099323116,-97.722125334988", "🔗 Ver Mapa")</f>
        <v>🔗 Ver Mapa</v>
      </c>
    </row>
    <row r="495" spans="1:12" ht="43.5" x14ac:dyDescent="0.35">
      <c r="A495" s="5" t="s">
        <v>270</v>
      </c>
      <c r="B495" s="5" t="s">
        <v>271</v>
      </c>
      <c r="C495" s="5" t="s">
        <v>312</v>
      </c>
      <c r="D495" s="8" t="s">
        <v>273</v>
      </c>
      <c r="E495" s="16" t="s">
        <v>73</v>
      </c>
      <c r="F495" s="16" t="s">
        <v>81</v>
      </c>
      <c r="G495" s="8" t="s">
        <v>298</v>
      </c>
      <c r="H495" s="8" t="s">
        <v>313</v>
      </c>
      <c r="I495" s="16" t="s">
        <v>138</v>
      </c>
      <c r="J495" s="16">
        <v>17.533100999999998</v>
      </c>
      <c r="K495" s="16">
        <v>-97.720052999999993</v>
      </c>
      <c r="L495" s="16" t="str">
        <f>HYPERLINK("https://maps.google.com/?q=17.533101,-97.720053", "🔗 Ver Mapa")</f>
        <v>🔗 Ver Mapa</v>
      </c>
    </row>
    <row r="496" spans="1:12" ht="43.5" x14ac:dyDescent="0.35">
      <c r="A496" s="6" t="s">
        <v>270</v>
      </c>
      <c r="B496" s="6" t="s">
        <v>271</v>
      </c>
      <c r="C496" s="6" t="s">
        <v>312</v>
      </c>
      <c r="D496" s="11" t="s">
        <v>273</v>
      </c>
      <c r="E496" s="17" t="s">
        <v>73</v>
      </c>
      <c r="F496" s="17" t="s">
        <v>81</v>
      </c>
      <c r="G496" s="11" t="s">
        <v>298</v>
      </c>
      <c r="H496" s="11" t="s">
        <v>313</v>
      </c>
      <c r="I496" s="17" t="s">
        <v>138</v>
      </c>
      <c r="J496" s="17">
        <v>17.533233318362001</v>
      </c>
      <c r="K496" s="17">
        <v>-97.721211644180002</v>
      </c>
      <c r="L496" s="17" t="str">
        <f>HYPERLINK("https://maps.google.com/?q=17.533233318362,-97.72121164418", "🔗 Ver Mapa")</f>
        <v>🔗 Ver Mapa</v>
      </c>
    </row>
    <row r="497" spans="1:12" ht="43.5" x14ac:dyDescent="0.35">
      <c r="A497" s="5" t="s">
        <v>270</v>
      </c>
      <c r="B497" s="5" t="s">
        <v>271</v>
      </c>
      <c r="C497" s="5" t="s">
        <v>312</v>
      </c>
      <c r="D497" s="8" t="s">
        <v>273</v>
      </c>
      <c r="E497" s="16" t="s">
        <v>73</v>
      </c>
      <c r="F497" s="16" t="s">
        <v>81</v>
      </c>
      <c r="G497" s="8" t="s">
        <v>298</v>
      </c>
      <c r="H497" s="8" t="s">
        <v>313</v>
      </c>
      <c r="I497" s="16" t="s">
        <v>138</v>
      </c>
      <c r="J497" s="16">
        <v>17.533271445158</v>
      </c>
      <c r="K497" s="16"/>
      <c r="L497" s="16" t="e">
        <f>HYPERLINK("", "🔗 Ver Mapa")</f>
        <v>#REF!</v>
      </c>
    </row>
    <row r="498" spans="1:12" ht="43.5" x14ac:dyDescent="0.35">
      <c r="A498" s="6" t="s">
        <v>270</v>
      </c>
      <c r="B498" s="6" t="s">
        <v>271</v>
      </c>
      <c r="C498" s="6" t="s">
        <v>312</v>
      </c>
      <c r="D498" s="11" t="s">
        <v>273</v>
      </c>
      <c r="E498" s="17" t="s">
        <v>73</v>
      </c>
      <c r="F498" s="17" t="s">
        <v>81</v>
      </c>
      <c r="G498" s="11" t="s">
        <v>298</v>
      </c>
      <c r="H498" s="11" t="s">
        <v>313</v>
      </c>
      <c r="I498" s="17" t="s">
        <v>138</v>
      </c>
      <c r="J498" s="17">
        <v>17.533413636264001</v>
      </c>
      <c r="K498" s="17">
        <v>-97.721553621648994</v>
      </c>
      <c r="L498" s="17" t="str">
        <f>HYPERLINK("https://maps.google.com/?q=17.533413636264,-97.721553621649", "🔗 Ver Mapa")</f>
        <v>🔗 Ver Mapa</v>
      </c>
    </row>
    <row r="499" spans="1:12" ht="43.5" x14ac:dyDescent="0.35">
      <c r="A499" s="5" t="s">
        <v>270</v>
      </c>
      <c r="B499" s="5" t="s">
        <v>271</v>
      </c>
      <c r="C499" s="5" t="s">
        <v>312</v>
      </c>
      <c r="D499" s="8" t="s">
        <v>273</v>
      </c>
      <c r="E499" s="16" t="s">
        <v>73</v>
      </c>
      <c r="F499" s="16" t="s">
        <v>81</v>
      </c>
      <c r="G499" s="8" t="s">
        <v>298</v>
      </c>
      <c r="H499" s="8" t="s">
        <v>313</v>
      </c>
      <c r="I499" s="16" t="s">
        <v>138</v>
      </c>
      <c r="J499" s="16">
        <v>17.533525999999998</v>
      </c>
      <c r="K499" s="16">
        <v>-97.722617</v>
      </c>
      <c r="L499" s="16" t="str">
        <f>HYPERLINK("https://maps.google.com/?q=17.533526,-97.722617", "🔗 Ver Mapa")</f>
        <v>🔗 Ver Mapa</v>
      </c>
    </row>
    <row r="500" spans="1:12" ht="43.5" x14ac:dyDescent="0.35">
      <c r="A500" s="6" t="s">
        <v>270</v>
      </c>
      <c r="B500" s="6" t="s">
        <v>271</v>
      </c>
      <c r="C500" s="6" t="s">
        <v>312</v>
      </c>
      <c r="D500" s="11" t="s">
        <v>273</v>
      </c>
      <c r="E500" s="17" t="s">
        <v>73</v>
      </c>
      <c r="F500" s="17" t="s">
        <v>81</v>
      </c>
      <c r="G500" s="11" t="s">
        <v>298</v>
      </c>
      <c r="H500" s="11" t="s">
        <v>313</v>
      </c>
      <c r="I500" s="17" t="s">
        <v>138</v>
      </c>
      <c r="J500" s="17">
        <v>17.533739785171001</v>
      </c>
      <c r="K500" s="17">
        <v>-97.720265661376999</v>
      </c>
      <c r="L500" s="17" t="str">
        <f>HYPERLINK("https://maps.google.com/?q=17.533739785171,-97.720265661377", "🔗 Ver Mapa")</f>
        <v>🔗 Ver Mapa</v>
      </c>
    </row>
    <row r="501" spans="1:12" ht="43.5" x14ac:dyDescent="0.35">
      <c r="A501" s="5" t="s">
        <v>270</v>
      </c>
      <c r="B501" s="5" t="s">
        <v>271</v>
      </c>
      <c r="C501" s="5" t="s">
        <v>312</v>
      </c>
      <c r="D501" s="8" t="s">
        <v>273</v>
      </c>
      <c r="E501" s="16" t="s">
        <v>73</v>
      </c>
      <c r="F501" s="16" t="s">
        <v>81</v>
      </c>
      <c r="G501" s="8" t="s">
        <v>298</v>
      </c>
      <c r="H501" s="8" t="s">
        <v>313</v>
      </c>
      <c r="I501" s="16" t="s">
        <v>138</v>
      </c>
      <c r="J501" s="16">
        <v>17.533826999999999</v>
      </c>
      <c r="K501" s="16">
        <v>-97.723080999999993</v>
      </c>
      <c r="L501" s="16" t="str">
        <f>HYPERLINK("https://maps.google.com/?q=17.533827,-97.723081", "🔗 Ver Mapa")</f>
        <v>🔗 Ver Mapa</v>
      </c>
    </row>
    <row r="502" spans="1:12" ht="43.5" x14ac:dyDescent="0.35">
      <c r="A502" s="6" t="s">
        <v>270</v>
      </c>
      <c r="B502" s="6" t="s">
        <v>271</v>
      </c>
      <c r="C502" s="6" t="s">
        <v>312</v>
      </c>
      <c r="D502" s="11" t="s">
        <v>273</v>
      </c>
      <c r="E502" s="17" t="s">
        <v>73</v>
      </c>
      <c r="F502" s="17" t="s">
        <v>81</v>
      </c>
      <c r="G502" s="11" t="s">
        <v>298</v>
      </c>
      <c r="H502" s="11" t="s">
        <v>313</v>
      </c>
      <c r="I502" s="17" t="s">
        <v>138</v>
      </c>
      <c r="J502" s="17">
        <v>17.534064000000001</v>
      </c>
      <c r="K502" s="17">
        <v>-97.722825999999998</v>
      </c>
      <c r="L502" s="17" t="str">
        <f>HYPERLINK("https://maps.google.com/?q=17.534064,-97.722826", "🔗 Ver Mapa")</f>
        <v>🔗 Ver Mapa</v>
      </c>
    </row>
    <row r="503" spans="1:12" ht="43.5" x14ac:dyDescent="0.35">
      <c r="A503" s="5" t="s">
        <v>270</v>
      </c>
      <c r="B503" s="5" t="s">
        <v>271</v>
      </c>
      <c r="C503" s="5" t="s">
        <v>312</v>
      </c>
      <c r="D503" s="8" t="s">
        <v>273</v>
      </c>
      <c r="E503" s="16" t="s">
        <v>73</v>
      </c>
      <c r="F503" s="16" t="s">
        <v>81</v>
      </c>
      <c r="G503" s="8" t="s">
        <v>298</v>
      </c>
      <c r="H503" s="8" t="s">
        <v>313</v>
      </c>
      <c r="I503" s="16" t="s">
        <v>138</v>
      </c>
      <c r="J503" s="16">
        <v>17.534568303185999</v>
      </c>
      <c r="K503" s="16">
        <v>-97.718525157594001</v>
      </c>
      <c r="L503" s="16" t="str">
        <f>HYPERLINK("https://maps.google.com/?q=17.534568303186,-97.718525157594", "🔗 Ver Mapa")</f>
        <v>🔗 Ver Mapa</v>
      </c>
    </row>
    <row r="504" spans="1:12" ht="43.5" x14ac:dyDescent="0.35">
      <c r="A504" s="6" t="s">
        <v>270</v>
      </c>
      <c r="B504" s="6" t="s">
        <v>271</v>
      </c>
      <c r="C504" s="6" t="s">
        <v>312</v>
      </c>
      <c r="D504" s="11" t="s">
        <v>273</v>
      </c>
      <c r="E504" s="17" t="s">
        <v>73</v>
      </c>
      <c r="F504" s="17" t="s">
        <v>81</v>
      </c>
      <c r="G504" s="11" t="s">
        <v>298</v>
      </c>
      <c r="H504" s="11" t="s">
        <v>313</v>
      </c>
      <c r="I504" s="17" t="s">
        <v>138</v>
      </c>
      <c r="J504" s="17">
        <v>17.535637000000001</v>
      </c>
      <c r="K504" s="17">
        <v>-97.720168999999999</v>
      </c>
      <c r="L504" s="17" t="str">
        <f>HYPERLINK("https://maps.google.com/?q=17.535637,-97.720169", "🔗 Ver Mapa")</f>
        <v>🔗 Ver Mapa</v>
      </c>
    </row>
    <row r="505" spans="1:12" ht="43.5" x14ac:dyDescent="0.35">
      <c r="A505" s="5" t="s">
        <v>270</v>
      </c>
      <c r="B505" s="5" t="s">
        <v>271</v>
      </c>
      <c r="C505" s="5" t="s">
        <v>312</v>
      </c>
      <c r="D505" s="8" t="s">
        <v>273</v>
      </c>
      <c r="E505" s="16" t="s">
        <v>73</v>
      </c>
      <c r="F505" s="16" t="s">
        <v>81</v>
      </c>
      <c r="G505" s="8" t="s">
        <v>298</v>
      </c>
      <c r="H505" s="8" t="s">
        <v>313</v>
      </c>
      <c r="I505" s="16" t="s">
        <v>138</v>
      </c>
      <c r="J505" s="16">
        <v>17.536453000000002</v>
      </c>
      <c r="K505" s="16">
        <v>-97.718760000000003</v>
      </c>
      <c r="L505" s="16" t="str">
        <f>HYPERLINK("https://maps.google.com/?q=17.536453,-97.71876", "🔗 Ver Mapa")</f>
        <v>🔗 Ver Mapa</v>
      </c>
    </row>
    <row r="506" spans="1:12" ht="43.5" x14ac:dyDescent="0.35">
      <c r="A506" s="6" t="s">
        <v>270</v>
      </c>
      <c r="B506" s="6" t="s">
        <v>271</v>
      </c>
      <c r="C506" s="6" t="s">
        <v>312</v>
      </c>
      <c r="D506" s="11" t="s">
        <v>273</v>
      </c>
      <c r="E506" s="17" t="s">
        <v>73</v>
      </c>
      <c r="F506" s="17" t="s">
        <v>81</v>
      </c>
      <c r="G506" s="11" t="s">
        <v>298</v>
      </c>
      <c r="H506" s="11" t="s">
        <v>313</v>
      </c>
      <c r="I506" s="17" t="s">
        <v>138</v>
      </c>
      <c r="J506" s="17">
        <v>17.537012000000001</v>
      </c>
      <c r="K506" s="17">
        <v>-97.721562000000006</v>
      </c>
      <c r="L506" s="17" t="str">
        <f>HYPERLINK("https://maps.google.com/?q=17.537012,-97.721562", "🔗 Ver Mapa")</f>
        <v>🔗 Ver Mapa</v>
      </c>
    </row>
    <row r="507" spans="1:12" ht="43.5" x14ac:dyDescent="0.35">
      <c r="A507" s="5" t="s">
        <v>270</v>
      </c>
      <c r="B507" s="5" t="s">
        <v>271</v>
      </c>
      <c r="C507" s="5" t="s">
        <v>314</v>
      </c>
      <c r="D507" s="8" t="s">
        <v>273</v>
      </c>
      <c r="E507" s="16" t="s">
        <v>73</v>
      </c>
      <c r="F507" s="16" t="s">
        <v>81</v>
      </c>
      <c r="G507" s="8" t="s">
        <v>298</v>
      </c>
      <c r="H507" s="8" t="s">
        <v>315</v>
      </c>
      <c r="I507" s="16" t="s">
        <v>138</v>
      </c>
      <c r="J507" s="16">
        <v>17.527342431518001</v>
      </c>
      <c r="K507" s="16">
        <v>-97.795294373996995</v>
      </c>
      <c r="L507" s="16" t="str">
        <f>HYPERLINK("https://maps.google.com/?q=17.527342431518,-97.795294373997", "🔗 Ver Mapa")</f>
        <v>🔗 Ver Mapa</v>
      </c>
    </row>
    <row r="508" spans="1:12" ht="43.5" x14ac:dyDescent="0.35">
      <c r="A508" s="6" t="s">
        <v>270</v>
      </c>
      <c r="B508" s="6" t="s">
        <v>271</v>
      </c>
      <c r="C508" s="6" t="s">
        <v>314</v>
      </c>
      <c r="D508" s="11" t="s">
        <v>273</v>
      </c>
      <c r="E508" s="17" t="s">
        <v>73</v>
      </c>
      <c r="F508" s="17" t="s">
        <v>81</v>
      </c>
      <c r="G508" s="11" t="s">
        <v>298</v>
      </c>
      <c r="H508" s="11" t="s">
        <v>315</v>
      </c>
      <c r="I508" s="17" t="s">
        <v>138</v>
      </c>
      <c r="J508" s="17">
        <v>17.528142848308999</v>
      </c>
      <c r="K508" s="17">
        <v>-97.795777813491995</v>
      </c>
      <c r="L508" s="17" t="str">
        <f>HYPERLINK("https://maps.google.com/?q=17.528142848309,-97.795777813492", "🔗 Ver Mapa")</f>
        <v>🔗 Ver Mapa</v>
      </c>
    </row>
    <row r="509" spans="1:12" ht="43.5" x14ac:dyDescent="0.35">
      <c r="A509" s="5" t="s">
        <v>270</v>
      </c>
      <c r="B509" s="5" t="s">
        <v>271</v>
      </c>
      <c r="C509" s="5" t="s">
        <v>314</v>
      </c>
      <c r="D509" s="8" t="s">
        <v>273</v>
      </c>
      <c r="E509" s="16" t="s">
        <v>73</v>
      </c>
      <c r="F509" s="16" t="s">
        <v>81</v>
      </c>
      <c r="G509" s="8" t="s">
        <v>298</v>
      </c>
      <c r="H509" s="8" t="s">
        <v>315</v>
      </c>
      <c r="I509" s="16" t="s">
        <v>138</v>
      </c>
      <c r="J509" s="16">
        <v>17.528705195505999</v>
      </c>
      <c r="K509" s="16">
        <v>-97.791642906746006</v>
      </c>
      <c r="L509" s="16" t="str">
        <f>HYPERLINK("https://maps.google.com/?q=17.528705195506,-97.791642906746", "🔗 Ver Mapa")</f>
        <v>🔗 Ver Mapa</v>
      </c>
    </row>
    <row r="510" spans="1:12" ht="43.5" x14ac:dyDescent="0.35">
      <c r="A510" s="6" t="s">
        <v>270</v>
      </c>
      <c r="B510" s="6" t="s">
        <v>271</v>
      </c>
      <c r="C510" s="6" t="s">
        <v>314</v>
      </c>
      <c r="D510" s="11" t="s">
        <v>273</v>
      </c>
      <c r="E510" s="17" t="s">
        <v>73</v>
      </c>
      <c r="F510" s="17" t="s">
        <v>81</v>
      </c>
      <c r="G510" s="11" t="s">
        <v>298</v>
      </c>
      <c r="H510" s="11" t="s">
        <v>315</v>
      </c>
      <c r="I510" s="17" t="s">
        <v>138</v>
      </c>
      <c r="J510" s="17">
        <v>17.528796906434</v>
      </c>
      <c r="K510" s="17">
        <v>-97.791379563160007</v>
      </c>
      <c r="L510" s="17" t="str">
        <f>HYPERLINK("https://maps.google.com/?q=17.528796906434,-97.79137956316", "🔗 Ver Mapa")</f>
        <v>🔗 Ver Mapa</v>
      </c>
    </row>
    <row r="511" spans="1:12" ht="43.5" x14ac:dyDescent="0.35">
      <c r="A511" s="5" t="s">
        <v>270</v>
      </c>
      <c r="B511" s="5" t="s">
        <v>271</v>
      </c>
      <c r="C511" s="5" t="s">
        <v>314</v>
      </c>
      <c r="D511" s="8" t="s">
        <v>273</v>
      </c>
      <c r="E511" s="16" t="s">
        <v>73</v>
      </c>
      <c r="F511" s="16" t="s">
        <v>81</v>
      </c>
      <c r="G511" s="8" t="s">
        <v>298</v>
      </c>
      <c r="H511" s="8" t="s">
        <v>315</v>
      </c>
      <c r="I511" s="16" t="s">
        <v>138</v>
      </c>
      <c r="J511" s="16">
        <v>17.529143013125999</v>
      </c>
      <c r="K511" s="16">
        <v>-97.791179775462993</v>
      </c>
      <c r="L511" s="16" t="str">
        <f>HYPERLINK("https://maps.google.com/?q=17.529143013126,-97.791179775463", "🔗 Ver Mapa")</f>
        <v>🔗 Ver Mapa</v>
      </c>
    </row>
    <row r="512" spans="1:12" ht="43.5" x14ac:dyDescent="0.35">
      <c r="A512" s="6" t="s">
        <v>270</v>
      </c>
      <c r="B512" s="6" t="s">
        <v>271</v>
      </c>
      <c r="C512" s="6" t="s">
        <v>314</v>
      </c>
      <c r="D512" s="11" t="s">
        <v>273</v>
      </c>
      <c r="E512" s="17" t="s">
        <v>73</v>
      </c>
      <c r="F512" s="17" t="s">
        <v>81</v>
      </c>
      <c r="G512" s="11" t="s">
        <v>298</v>
      </c>
      <c r="H512" s="11" t="s">
        <v>315</v>
      </c>
      <c r="I512" s="17" t="s">
        <v>138</v>
      </c>
      <c r="J512" s="17">
        <v>17.529337000000002</v>
      </c>
      <c r="K512" s="17">
        <v>-97.789866000000004</v>
      </c>
      <c r="L512" s="17" t="str">
        <f>HYPERLINK("https://maps.google.com/?q=17.529337,-97.789866", "🔗 Ver Mapa")</f>
        <v>🔗 Ver Mapa</v>
      </c>
    </row>
    <row r="513" spans="1:12" ht="43.5" x14ac:dyDescent="0.35">
      <c r="A513" s="5" t="s">
        <v>270</v>
      </c>
      <c r="B513" s="5" t="s">
        <v>271</v>
      </c>
      <c r="C513" s="5" t="s">
        <v>314</v>
      </c>
      <c r="D513" s="8" t="s">
        <v>273</v>
      </c>
      <c r="E513" s="16" t="s">
        <v>73</v>
      </c>
      <c r="F513" s="16" t="s">
        <v>81</v>
      </c>
      <c r="G513" s="8" t="s">
        <v>298</v>
      </c>
      <c r="H513" s="8" t="s">
        <v>315</v>
      </c>
      <c r="I513" s="16" t="s">
        <v>138</v>
      </c>
      <c r="J513" s="16">
        <v>17.529478992929</v>
      </c>
      <c r="K513" s="16">
        <v>-97.792629192625</v>
      </c>
      <c r="L513" s="16" t="str">
        <f>HYPERLINK("https://maps.google.com/?q=17.529478992929,-97.792629192625", "🔗 Ver Mapa")</f>
        <v>🔗 Ver Mapa</v>
      </c>
    </row>
    <row r="514" spans="1:12" ht="43.5" x14ac:dyDescent="0.35">
      <c r="A514" s="6" t="s">
        <v>270</v>
      </c>
      <c r="B514" s="6" t="s">
        <v>271</v>
      </c>
      <c r="C514" s="6" t="s">
        <v>314</v>
      </c>
      <c r="D514" s="11" t="s">
        <v>273</v>
      </c>
      <c r="E514" s="17" t="s">
        <v>73</v>
      </c>
      <c r="F514" s="17" t="s">
        <v>81</v>
      </c>
      <c r="G514" s="11" t="s">
        <v>298</v>
      </c>
      <c r="H514" s="11" t="s">
        <v>315</v>
      </c>
      <c r="I514" s="17" t="s">
        <v>138</v>
      </c>
      <c r="J514" s="17">
        <v>17.529479946180999</v>
      </c>
      <c r="K514" s="17">
        <v>-97.791306265046998</v>
      </c>
      <c r="L514" s="17" t="str">
        <f>HYPERLINK("https://maps.google.com/?q=17.529479946181,-97.791306265047", "🔗 Ver Mapa")</f>
        <v>🔗 Ver Mapa</v>
      </c>
    </row>
    <row r="515" spans="1:12" ht="43.5" x14ac:dyDescent="0.35">
      <c r="A515" s="5" t="s">
        <v>270</v>
      </c>
      <c r="B515" s="5" t="s">
        <v>271</v>
      </c>
      <c r="C515" s="5" t="s">
        <v>314</v>
      </c>
      <c r="D515" s="8" t="s">
        <v>273</v>
      </c>
      <c r="E515" s="16" t="s">
        <v>73</v>
      </c>
      <c r="F515" s="16" t="s">
        <v>81</v>
      </c>
      <c r="G515" s="8" t="s">
        <v>298</v>
      </c>
      <c r="H515" s="8" t="s">
        <v>315</v>
      </c>
      <c r="I515" s="16" t="s">
        <v>138</v>
      </c>
      <c r="J515" s="16">
        <v>17.530029849950999</v>
      </c>
      <c r="K515" s="16">
        <v>-97.792702657578005</v>
      </c>
      <c r="L515" s="16" t="str">
        <f>HYPERLINK("https://maps.google.com/?q=17.530029849951,-97.792702657578", "🔗 Ver Mapa")</f>
        <v>🔗 Ver Mapa</v>
      </c>
    </row>
    <row r="516" spans="1:12" ht="43.5" x14ac:dyDescent="0.35">
      <c r="A516" s="6" t="s">
        <v>270</v>
      </c>
      <c r="B516" s="6" t="s">
        <v>271</v>
      </c>
      <c r="C516" s="6" t="s">
        <v>314</v>
      </c>
      <c r="D516" s="11" t="s">
        <v>273</v>
      </c>
      <c r="E516" s="17" t="s">
        <v>73</v>
      </c>
      <c r="F516" s="17" t="s">
        <v>81</v>
      </c>
      <c r="G516" s="11" t="s">
        <v>298</v>
      </c>
      <c r="H516" s="11" t="s">
        <v>315</v>
      </c>
      <c r="I516" s="17" t="s">
        <v>138</v>
      </c>
      <c r="J516" s="17">
        <v>17.530174809801998</v>
      </c>
      <c r="K516" s="17">
        <v>-97.793457822090005</v>
      </c>
      <c r="L516" s="17" t="str">
        <f>HYPERLINK("https://maps.google.com/?q=17.530174809802,-97.79345782209", "🔗 Ver Mapa")</f>
        <v>🔗 Ver Mapa</v>
      </c>
    </row>
    <row r="517" spans="1:12" ht="43.5" x14ac:dyDescent="0.35">
      <c r="A517" s="5" t="s">
        <v>270</v>
      </c>
      <c r="B517" s="5" t="s">
        <v>271</v>
      </c>
      <c r="C517" s="5" t="s">
        <v>314</v>
      </c>
      <c r="D517" s="8" t="s">
        <v>273</v>
      </c>
      <c r="E517" s="16" t="s">
        <v>73</v>
      </c>
      <c r="F517" s="16" t="s">
        <v>81</v>
      </c>
      <c r="G517" s="8" t="s">
        <v>298</v>
      </c>
      <c r="H517" s="8" t="s">
        <v>315</v>
      </c>
      <c r="I517" s="16" t="s">
        <v>138</v>
      </c>
      <c r="J517" s="16">
        <v>17.530936292524</v>
      </c>
      <c r="K517" s="16"/>
      <c r="L517" s="16" t="e">
        <f>HYPERLINK("", "🔗 Ver Mapa")</f>
        <v>#REF!</v>
      </c>
    </row>
    <row r="518" spans="1:12" ht="43.5" x14ac:dyDescent="0.35">
      <c r="A518" s="6" t="s">
        <v>270</v>
      </c>
      <c r="B518" s="6" t="s">
        <v>271</v>
      </c>
      <c r="C518" s="6" t="s">
        <v>314</v>
      </c>
      <c r="D518" s="11" t="s">
        <v>273</v>
      </c>
      <c r="E518" s="17" t="s">
        <v>73</v>
      </c>
      <c r="F518" s="17" t="s">
        <v>81</v>
      </c>
      <c r="G518" s="11" t="s">
        <v>298</v>
      </c>
      <c r="H518" s="11" t="s">
        <v>315</v>
      </c>
      <c r="I518" s="17" t="s">
        <v>138</v>
      </c>
      <c r="J518" s="17">
        <v>17.531275463778002</v>
      </c>
      <c r="K518" s="17">
        <v>-97.790331152115002</v>
      </c>
      <c r="L518" s="17" t="str">
        <f>HYPERLINK("https://maps.google.com/?q=17.531275463778,-97.790331152115", "🔗 Ver Mapa")</f>
        <v>🔗 Ver Mapa</v>
      </c>
    </row>
    <row r="519" spans="1:12" ht="43.5" x14ac:dyDescent="0.35">
      <c r="A519" s="5" t="s">
        <v>270</v>
      </c>
      <c r="B519" s="5" t="s">
        <v>271</v>
      </c>
      <c r="C519" s="5" t="s">
        <v>314</v>
      </c>
      <c r="D519" s="8" t="s">
        <v>273</v>
      </c>
      <c r="E519" s="16" t="s">
        <v>73</v>
      </c>
      <c r="F519" s="16" t="s">
        <v>81</v>
      </c>
      <c r="G519" s="8" t="s">
        <v>298</v>
      </c>
      <c r="H519" s="8" t="s">
        <v>315</v>
      </c>
      <c r="I519" s="16" t="s">
        <v>138</v>
      </c>
      <c r="J519" s="16">
        <v>17.531388927099002</v>
      </c>
      <c r="K519" s="16">
        <v>-97.790920297875005</v>
      </c>
      <c r="L519" s="16" t="str">
        <f>HYPERLINK("https://maps.google.com/?q=17.531388927099,-97.790920297875", "🔗 Ver Mapa")</f>
        <v>🔗 Ver Mapa</v>
      </c>
    </row>
    <row r="520" spans="1:12" ht="43.5" x14ac:dyDescent="0.35">
      <c r="A520" s="6" t="s">
        <v>270</v>
      </c>
      <c r="B520" s="6" t="s">
        <v>271</v>
      </c>
      <c r="C520" s="6" t="s">
        <v>314</v>
      </c>
      <c r="D520" s="11" t="s">
        <v>273</v>
      </c>
      <c r="E520" s="17" t="s">
        <v>73</v>
      </c>
      <c r="F520" s="17" t="s">
        <v>81</v>
      </c>
      <c r="G520" s="11" t="s">
        <v>298</v>
      </c>
      <c r="H520" s="11" t="s">
        <v>315</v>
      </c>
      <c r="I520" s="17" t="s">
        <v>138</v>
      </c>
      <c r="J520" s="17">
        <v>17.531801474927001</v>
      </c>
      <c r="K520" s="17">
        <v>-97.792929883431995</v>
      </c>
      <c r="L520" s="17" t="str">
        <f>HYPERLINK("https://maps.google.com/?q=17.531801474927,-97.792929883432", "🔗 Ver Mapa")</f>
        <v>🔗 Ver Mapa</v>
      </c>
    </row>
    <row r="521" spans="1:12" ht="43.5" x14ac:dyDescent="0.35">
      <c r="A521" s="5" t="s">
        <v>270</v>
      </c>
      <c r="B521" s="5" t="s">
        <v>271</v>
      </c>
      <c r="C521" s="5" t="s">
        <v>314</v>
      </c>
      <c r="D521" s="8" t="s">
        <v>273</v>
      </c>
      <c r="E521" s="16" t="s">
        <v>73</v>
      </c>
      <c r="F521" s="16" t="s">
        <v>81</v>
      </c>
      <c r="G521" s="8" t="s">
        <v>298</v>
      </c>
      <c r="H521" s="8" t="s">
        <v>315</v>
      </c>
      <c r="I521" s="16" t="s">
        <v>138</v>
      </c>
      <c r="J521" s="16">
        <v>17.531911000000001</v>
      </c>
      <c r="K521" s="16">
        <v>-97.792849000000004</v>
      </c>
      <c r="L521" s="16" t="str">
        <f>HYPERLINK("https://maps.google.com/?q=17.531911,-97.792849", "🔗 Ver Mapa")</f>
        <v>🔗 Ver Mapa</v>
      </c>
    </row>
    <row r="522" spans="1:12" ht="43.5" x14ac:dyDescent="0.35">
      <c r="A522" s="6" t="s">
        <v>270</v>
      </c>
      <c r="B522" s="6" t="s">
        <v>271</v>
      </c>
      <c r="C522" s="6" t="s">
        <v>314</v>
      </c>
      <c r="D522" s="11" t="s">
        <v>273</v>
      </c>
      <c r="E522" s="17" t="s">
        <v>73</v>
      </c>
      <c r="F522" s="17" t="s">
        <v>81</v>
      </c>
      <c r="G522" s="11" t="s">
        <v>298</v>
      </c>
      <c r="H522" s="11" t="s">
        <v>315</v>
      </c>
      <c r="I522" s="17" t="s">
        <v>138</v>
      </c>
      <c r="J522" s="17">
        <v>17.531990727890001</v>
      </c>
      <c r="K522" s="17">
        <v>-97.794361851521003</v>
      </c>
      <c r="L522" s="17" t="str">
        <f>HYPERLINK("https://maps.google.com/?q=17.53199072789,-97.794361851521", "🔗 Ver Mapa")</f>
        <v>🔗 Ver Mapa</v>
      </c>
    </row>
    <row r="523" spans="1:12" ht="43.5" x14ac:dyDescent="0.35">
      <c r="A523" s="5" t="s">
        <v>270</v>
      </c>
      <c r="B523" s="5" t="s">
        <v>271</v>
      </c>
      <c r="C523" s="5" t="s">
        <v>314</v>
      </c>
      <c r="D523" s="8" t="s">
        <v>273</v>
      </c>
      <c r="E523" s="16" t="s">
        <v>73</v>
      </c>
      <c r="F523" s="16" t="s">
        <v>81</v>
      </c>
      <c r="G523" s="8" t="s">
        <v>298</v>
      </c>
      <c r="H523" s="8" t="s">
        <v>315</v>
      </c>
      <c r="I523" s="16" t="s">
        <v>138</v>
      </c>
      <c r="J523" s="16">
        <v>17.532099359753001</v>
      </c>
      <c r="K523" s="16">
        <v>-97.794522930059003</v>
      </c>
      <c r="L523" s="16" t="str">
        <f>HYPERLINK("https://maps.google.com/?q=17.532099359753,-97.794522930059", "🔗 Ver Mapa")</f>
        <v>🔗 Ver Mapa</v>
      </c>
    </row>
    <row r="524" spans="1:12" ht="43.5" x14ac:dyDescent="0.35">
      <c r="A524" s="6" t="s">
        <v>270</v>
      </c>
      <c r="B524" s="6" t="s">
        <v>271</v>
      </c>
      <c r="C524" s="6" t="s">
        <v>314</v>
      </c>
      <c r="D524" s="11" t="s">
        <v>273</v>
      </c>
      <c r="E524" s="17" t="s">
        <v>73</v>
      </c>
      <c r="F524" s="17" t="s">
        <v>81</v>
      </c>
      <c r="G524" s="11" t="s">
        <v>298</v>
      </c>
      <c r="H524" s="11" t="s">
        <v>315</v>
      </c>
      <c r="I524" s="17" t="s">
        <v>138</v>
      </c>
      <c r="J524" s="17">
        <v>17.532184627292001</v>
      </c>
      <c r="K524" s="17">
        <v>-97.792048510415995</v>
      </c>
      <c r="L524" s="17" t="str">
        <f>HYPERLINK("https://maps.google.com/?q=17.532184627292,-97.792048510416", "🔗 Ver Mapa")</f>
        <v>🔗 Ver Mapa</v>
      </c>
    </row>
    <row r="525" spans="1:12" ht="43.5" x14ac:dyDescent="0.35">
      <c r="A525" s="5" t="s">
        <v>270</v>
      </c>
      <c r="B525" s="5" t="s">
        <v>271</v>
      </c>
      <c r="C525" s="5" t="s">
        <v>314</v>
      </c>
      <c r="D525" s="8" t="s">
        <v>273</v>
      </c>
      <c r="E525" s="16" t="s">
        <v>73</v>
      </c>
      <c r="F525" s="16" t="s">
        <v>81</v>
      </c>
      <c r="G525" s="8" t="s">
        <v>298</v>
      </c>
      <c r="H525" s="8" t="s">
        <v>315</v>
      </c>
      <c r="I525" s="16" t="s">
        <v>138</v>
      </c>
      <c r="J525" s="16">
        <v>17.532286850537002</v>
      </c>
      <c r="K525" s="16">
        <v>-97.794498495701006</v>
      </c>
      <c r="L525" s="16" t="str">
        <f>HYPERLINK("https://maps.google.com/?q=17.532286850537,-97.794498495701", "🔗 Ver Mapa")</f>
        <v>🔗 Ver Mapa</v>
      </c>
    </row>
    <row r="526" spans="1:12" ht="43.5" x14ac:dyDescent="0.35">
      <c r="A526" s="6" t="s">
        <v>270</v>
      </c>
      <c r="B526" s="6" t="s">
        <v>271</v>
      </c>
      <c r="C526" s="6" t="s">
        <v>314</v>
      </c>
      <c r="D526" s="11" t="s">
        <v>273</v>
      </c>
      <c r="E526" s="17" t="s">
        <v>73</v>
      </c>
      <c r="F526" s="17" t="s">
        <v>81</v>
      </c>
      <c r="G526" s="11" t="s">
        <v>298</v>
      </c>
      <c r="H526" s="11" t="s">
        <v>315</v>
      </c>
      <c r="I526" s="17" t="s">
        <v>138</v>
      </c>
      <c r="J526" s="17">
        <v>17.532324192107001</v>
      </c>
      <c r="K526" s="17">
        <v>-97.792301646661997</v>
      </c>
      <c r="L526" s="17" t="str">
        <f>HYPERLINK("https://maps.google.com/?q=17.532324192107,-97.792301646662", "🔗 Ver Mapa")</f>
        <v>🔗 Ver Mapa</v>
      </c>
    </row>
    <row r="527" spans="1:12" ht="43.5" x14ac:dyDescent="0.35">
      <c r="A527" s="5" t="s">
        <v>270</v>
      </c>
      <c r="B527" s="5" t="s">
        <v>271</v>
      </c>
      <c r="C527" s="5" t="s">
        <v>314</v>
      </c>
      <c r="D527" s="8" t="s">
        <v>273</v>
      </c>
      <c r="E527" s="16" t="s">
        <v>73</v>
      </c>
      <c r="F527" s="16" t="s">
        <v>81</v>
      </c>
      <c r="G527" s="8" t="s">
        <v>298</v>
      </c>
      <c r="H527" s="8" t="s">
        <v>315</v>
      </c>
      <c r="I527" s="16" t="s">
        <v>138</v>
      </c>
      <c r="J527" s="16">
        <v>17.532336046988998</v>
      </c>
      <c r="K527" s="16">
        <v>-97.792122866330004</v>
      </c>
      <c r="L527" s="16" t="str">
        <f>HYPERLINK("https://maps.google.com/?q=17.532336046989,-97.79212286633", "🔗 Ver Mapa")</f>
        <v>🔗 Ver Mapa</v>
      </c>
    </row>
    <row r="528" spans="1:12" ht="43.5" x14ac:dyDescent="0.35">
      <c r="A528" s="6" t="s">
        <v>270</v>
      </c>
      <c r="B528" s="6" t="s">
        <v>271</v>
      </c>
      <c r="C528" s="6" t="s">
        <v>316</v>
      </c>
      <c r="D528" s="11" t="s">
        <v>273</v>
      </c>
      <c r="E528" s="17" t="s">
        <v>73</v>
      </c>
      <c r="F528" s="17" t="s">
        <v>249</v>
      </c>
      <c r="G528" s="11" t="s">
        <v>317</v>
      </c>
      <c r="H528" s="11" t="s">
        <v>318</v>
      </c>
      <c r="I528" s="17" t="s">
        <v>138</v>
      </c>
      <c r="J528" s="17">
        <v>18.081622188120001</v>
      </c>
      <c r="K528" s="17">
        <v>-97.674507187491002</v>
      </c>
      <c r="L528" s="17" t="str">
        <f>HYPERLINK("https://maps.google.com/?q=18.08162218812,-97.674507187491", "🔗 Ver Mapa")</f>
        <v>🔗 Ver Mapa</v>
      </c>
    </row>
    <row r="529" spans="1:12" ht="43.5" x14ac:dyDescent="0.35">
      <c r="A529" s="5" t="s">
        <v>270</v>
      </c>
      <c r="B529" s="5" t="s">
        <v>271</v>
      </c>
      <c r="C529" s="5" t="s">
        <v>316</v>
      </c>
      <c r="D529" s="8" t="s">
        <v>273</v>
      </c>
      <c r="E529" s="16" t="s">
        <v>73</v>
      </c>
      <c r="F529" s="16" t="s">
        <v>249</v>
      </c>
      <c r="G529" s="8" t="s">
        <v>317</v>
      </c>
      <c r="H529" s="8" t="s">
        <v>318</v>
      </c>
      <c r="I529" s="16" t="s">
        <v>138</v>
      </c>
      <c r="J529" s="16">
        <v>18.083854479185</v>
      </c>
      <c r="K529" s="16">
        <v>-97.675160305386001</v>
      </c>
      <c r="L529" s="16" t="str">
        <f>HYPERLINK("https://maps.google.com/?q=18.083854479185,-97.675160305386", "🔗 Ver Mapa")</f>
        <v>🔗 Ver Mapa</v>
      </c>
    </row>
    <row r="530" spans="1:12" ht="43.5" x14ac:dyDescent="0.35">
      <c r="A530" s="6" t="s">
        <v>1</v>
      </c>
      <c r="B530" s="6" t="s">
        <v>14</v>
      </c>
      <c r="C530" s="6" t="s">
        <v>319</v>
      </c>
      <c r="D530" s="11" t="s">
        <v>61</v>
      </c>
      <c r="E530" s="17" t="s">
        <v>164</v>
      </c>
      <c r="F530" s="17" t="s">
        <v>165</v>
      </c>
      <c r="G530" s="11" t="s">
        <v>191</v>
      </c>
      <c r="H530" s="11" t="s">
        <v>192</v>
      </c>
      <c r="I530" s="17" t="s">
        <v>138</v>
      </c>
      <c r="J530" s="17">
        <v>17.788735644452998</v>
      </c>
      <c r="K530" s="17">
        <v>-96.801391269646004</v>
      </c>
      <c r="L530" s="17" t="str">
        <f>HYPERLINK("https://maps.google.com/?q=17.788735644453,-96.801391269646", "🔗 Ver Mapa")</f>
        <v>🔗 Ver Mapa</v>
      </c>
    </row>
    <row r="531" spans="1:12" ht="43.5" x14ac:dyDescent="0.35">
      <c r="A531" s="5" t="s">
        <v>1</v>
      </c>
      <c r="B531" s="5" t="s">
        <v>14</v>
      </c>
      <c r="C531" s="5" t="s">
        <v>320</v>
      </c>
      <c r="D531" s="8" t="s">
        <v>61</v>
      </c>
      <c r="E531" s="16" t="s">
        <v>75</v>
      </c>
      <c r="F531" s="16" t="s">
        <v>84</v>
      </c>
      <c r="G531" s="8" t="s">
        <v>321</v>
      </c>
      <c r="H531" s="8" t="s">
        <v>322</v>
      </c>
      <c r="I531" s="16" t="s">
        <v>138</v>
      </c>
      <c r="J531" s="16">
        <v>17.016133515551001</v>
      </c>
      <c r="K531" s="16">
        <v>-96.511432421750996</v>
      </c>
      <c r="L531" s="16" t="str">
        <f>HYPERLINK("https://maps.google.com/?q=17.016133515551,-96.511432421751", "🔗 Ver Mapa")</f>
        <v>🔗 Ver Mapa</v>
      </c>
    </row>
    <row r="532" spans="1:12" ht="43.5" x14ac:dyDescent="0.35">
      <c r="A532" s="6" t="s">
        <v>1</v>
      </c>
      <c r="B532" s="6" t="s">
        <v>14</v>
      </c>
      <c r="C532" s="6" t="s">
        <v>323</v>
      </c>
      <c r="D532" s="11" t="s">
        <v>61</v>
      </c>
      <c r="E532" s="17" t="s">
        <v>79</v>
      </c>
      <c r="F532" s="17" t="s">
        <v>195</v>
      </c>
      <c r="G532" s="11" t="s">
        <v>324</v>
      </c>
      <c r="H532" s="11" t="s">
        <v>325</v>
      </c>
      <c r="I532" s="17" t="s">
        <v>138</v>
      </c>
      <c r="J532" s="17">
        <v>16.314377552924</v>
      </c>
      <c r="K532" s="17">
        <v>-96.511312548893002</v>
      </c>
      <c r="L532" s="17" t="str">
        <f>HYPERLINK("https://maps.google.com/?q=16.314377552924,-96.511312548893", "🔗 Ver Mapa")</f>
        <v>🔗 Ver Mapa</v>
      </c>
    </row>
    <row r="533" spans="1:12" ht="43.5" x14ac:dyDescent="0.35">
      <c r="A533" s="5" t="s">
        <v>1</v>
      </c>
      <c r="B533" s="5" t="s">
        <v>14</v>
      </c>
      <c r="C533" s="5" t="s">
        <v>326</v>
      </c>
      <c r="D533" s="8" t="s">
        <v>61</v>
      </c>
      <c r="E533" s="16" t="s">
        <v>77</v>
      </c>
      <c r="F533" s="16" t="s">
        <v>201</v>
      </c>
      <c r="G533" s="8" t="s">
        <v>202</v>
      </c>
      <c r="H533" s="8" t="s">
        <v>327</v>
      </c>
      <c r="I533" s="16" t="s">
        <v>138</v>
      </c>
      <c r="J533" s="16">
        <v>16.861457651300999</v>
      </c>
      <c r="K533" s="16">
        <v>-95.427555354248994</v>
      </c>
      <c r="L533" s="16" t="str">
        <f>HYPERLINK("https://maps.google.com/?q=16.861457651301,-95.427555354249", "🔗 Ver Mapa")</f>
        <v>🔗 Ver Mapa</v>
      </c>
    </row>
    <row r="534" spans="1:12" ht="43.5" x14ac:dyDescent="0.35">
      <c r="A534" s="6" t="s">
        <v>1</v>
      </c>
      <c r="B534" s="6" t="s">
        <v>14</v>
      </c>
      <c r="C534" s="6" t="s">
        <v>328</v>
      </c>
      <c r="D534" s="11" t="s">
        <v>61</v>
      </c>
      <c r="E534" s="17" t="s">
        <v>77</v>
      </c>
      <c r="F534" s="17" t="s">
        <v>201</v>
      </c>
      <c r="G534" s="11" t="s">
        <v>329</v>
      </c>
      <c r="H534" s="11" t="s">
        <v>330</v>
      </c>
      <c r="I534" s="17" t="s">
        <v>138</v>
      </c>
      <c r="J534" s="17">
        <v>16.599219623648999</v>
      </c>
      <c r="K534" s="17">
        <v>-95.624019089057001</v>
      </c>
      <c r="L534" s="17" t="str">
        <f>HYPERLINK("https://maps.google.com/?q=16.599219623649,-95.624019089057", "🔗 Ver Mapa")</f>
        <v>🔗 Ver Mapa</v>
      </c>
    </row>
    <row r="535" spans="1:12" ht="43.5" x14ac:dyDescent="0.35">
      <c r="A535" s="5" t="s">
        <v>1</v>
      </c>
      <c r="B535" s="5" t="s">
        <v>14</v>
      </c>
      <c r="C535" s="5" t="s">
        <v>331</v>
      </c>
      <c r="D535" s="8" t="s">
        <v>61</v>
      </c>
      <c r="E535" s="16" t="s">
        <v>77</v>
      </c>
      <c r="F535" s="16" t="s">
        <v>201</v>
      </c>
      <c r="G535" s="8" t="s">
        <v>202</v>
      </c>
      <c r="H535" s="8" t="s">
        <v>203</v>
      </c>
      <c r="I535" s="16" t="s">
        <v>138</v>
      </c>
      <c r="J535" s="16">
        <v>16.69028323713</v>
      </c>
      <c r="K535" s="16">
        <v>-95.523208717242994</v>
      </c>
      <c r="L535" s="16" t="str">
        <f>HYPERLINK("https://maps.google.com/?q=16.69028323713,-95.523208717243", "🔗 Ver Mapa")</f>
        <v>🔗 Ver Mapa</v>
      </c>
    </row>
    <row r="536" spans="1:12" ht="43.5" x14ac:dyDescent="0.35">
      <c r="A536" s="6" t="s">
        <v>1</v>
      </c>
      <c r="B536" s="6" t="s">
        <v>14</v>
      </c>
      <c r="C536" s="6" t="s">
        <v>332</v>
      </c>
      <c r="D536" s="11" t="s">
        <v>61</v>
      </c>
      <c r="E536" s="17" t="s">
        <v>74</v>
      </c>
      <c r="F536" s="17" t="s">
        <v>82</v>
      </c>
      <c r="G536" s="11" t="s">
        <v>113</v>
      </c>
      <c r="H536" s="11" t="s">
        <v>178</v>
      </c>
      <c r="I536" s="17" t="s">
        <v>138</v>
      </c>
      <c r="J536" s="17">
        <v>16.545518624776001</v>
      </c>
      <c r="K536" s="17">
        <v>-98.068256391137993</v>
      </c>
      <c r="L536" s="17" t="str">
        <f>HYPERLINK("https://maps.google.com/?q=16.545518624776,-98.068256391138", "🔗 Ver Mapa")</f>
        <v>🔗 Ver Mapa</v>
      </c>
    </row>
    <row r="537" spans="1:12" ht="43.5" x14ac:dyDescent="0.35">
      <c r="A537" s="5" t="s">
        <v>1</v>
      </c>
      <c r="B537" s="5" t="s">
        <v>14</v>
      </c>
      <c r="C537" s="5" t="s">
        <v>333</v>
      </c>
      <c r="D537" s="8" t="s">
        <v>61</v>
      </c>
      <c r="E537" s="16" t="s">
        <v>79</v>
      </c>
      <c r="F537" s="16" t="s">
        <v>195</v>
      </c>
      <c r="G537" s="8" t="s">
        <v>196</v>
      </c>
      <c r="H537" s="8" t="s">
        <v>197</v>
      </c>
      <c r="I537" s="16" t="s">
        <v>138</v>
      </c>
      <c r="J537" s="16">
        <v>16.330252229106001</v>
      </c>
      <c r="K537" s="16">
        <v>-96.641913125423997</v>
      </c>
      <c r="L537" s="16" t="str">
        <f>HYPERLINK("https://maps.google.com/?q=16.330252229106,-96.641913125424", "🔗 Ver Mapa")</f>
        <v>🔗 Ver Mapa</v>
      </c>
    </row>
    <row r="538" spans="1:12" ht="43.5" x14ac:dyDescent="0.35">
      <c r="A538" s="6" t="s">
        <v>1</v>
      </c>
      <c r="B538" s="6" t="s">
        <v>14</v>
      </c>
      <c r="C538" s="6" t="s">
        <v>334</v>
      </c>
      <c r="D538" s="11" t="s">
        <v>61</v>
      </c>
      <c r="E538" s="17" t="s">
        <v>79</v>
      </c>
      <c r="F538" s="17" t="s">
        <v>195</v>
      </c>
      <c r="G538" s="11" t="s">
        <v>324</v>
      </c>
      <c r="H538" s="11" t="s">
        <v>325</v>
      </c>
      <c r="I538" s="17" t="s">
        <v>138</v>
      </c>
      <c r="J538" s="17">
        <v>16.314588865213999</v>
      </c>
      <c r="K538" s="17">
        <v>-96.511357061099005</v>
      </c>
      <c r="L538" s="17" t="str">
        <f>HYPERLINK("https://maps.google.com/?q=16.314588865214,-96.511357061099", "🔗 Ver Mapa")</f>
        <v>🔗 Ver Mapa</v>
      </c>
    </row>
    <row r="539" spans="1:12" ht="58" x14ac:dyDescent="0.35">
      <c r="A539" s="5" t="s">
        <v>1</v>
      </c>
      <c r="B539" s="5" t="s">
        <v>14</v>
      </c>
      <c r="C539" s="5" t="s">
        <v>335</v>
      </c>
      <c r="D539" s="8" t="s">
        <v>61</v>
      </c>
      <c r="E539" s="16" t="s">
        <v>74</v>
      </c>
      <c r="F539" s="16" t="s">
        <v>82</v>
      </c>
      <c r="G539" s="8" t="s">
        <v>113</v>
      </c>
      <c r="H539" s="8" t="s">
        <v>136</v>
      </c>
      <c r="I539" s="16" t="s">
        <v>138</v>
      </c>
      <c r="J539" s="16">
        <v>16.539071775878998</v>
      </c>
      <c r="K539" s="16">
        <v>-98.035577435464006</v>
      </c>
      <c r="L539" s="16" t="str">
        <f>HYPERLINK("https://maps.google.com/?q=16.539071775879,-98.035577435464", "🔗 Ver Mapa")</f>
        <v>🔗 Ver Mapa</v>
      </c>
    </row>
    <row r="540" spans="1:12" ht="72.5" x14ac:dyDescent="0.35">
      <c r="A540" s="6" t="s">
        <v>1</v>
      </c>
      <c r="B540" s="6" t="s">
        <v>14</v>
      </c>
      <c r="C540" s="6" t="s">
        <v>336</v>
      </c>
      <c r="D540" s="11" t="s">
        <v>61</v>
      </c>
      <c r="E540" s="17" t="s">
        <v>74</v>
      </c>
      <c r="F540" s="17" t="s">
        <v>82</v>
      </c>
      <c r="G540" s="11" t="s">
        <v>337</v>
      </c>
      <c r="H540" s="11" t="s">
        <v>338</v>
      </c>
      <c r="I540" s="17" t="s">
        <v>138</v>
      </c>
      <c r="J540" s="17">
        <v>16.398524511921</v>
      </c>
      <c r="K540" s="17">
        <v>-97.809111895768993</v>
      </c>
      <c r="L540" s="17" t="str">
        <f>HYPERLINK("https://maps.google.com/?q=16.398524511921,-97.809111895769", "🔗 Ver Mapa")</f>
        <v>🔗 Ver Mapa</v>
      </c>
    </row>
    <row r="541" spans="1:12" ht="43.5" x14ac:dyDescent="0.35">
      <c r="A541" s="5" t="s">
        <v>1</v>
      </c>
      <c r="B541" s="5" t="s">
        <v>14</v>
      </c>
      <c r="C541" s="5" t="s">
        <v>339</v>
      </c>
      <c r="D541" s="8" t="s">
        <v>61</v>
      </c>
      <c r="E541" s="16" t="s">
        <v>77</v>
      </c>
      <c r="F541" s="16" t="s">
        <v>201</v>
      </c>
      <c r="G541" s="8" t="s">
        <v>202</v>
      </c>
      <c r="H541" s="8" t="s">
        <v>340</v>
      </c>
      <c r="I541" s="16" t="s">
        <v>138</v>
      </c>
      <c r="J541" s="16">
        <v>16.876187906847001</v>
      </c>
      <c r="K541" s="16">
        <v>-95.446998017943997</v>
      </c>
      <c r="L541" s="16" t="str">
        <f>HYPERLINK("https://maps.google.com/?q=16.876187906847,-95.446998017944", "🔗 Ver Mapa")</f>
        <v>🔗 Ver Mapa</v>
      </c>
    </row>
    <row r="542" spans="1:12" ht="43.5" x14ac:dyDescent="0.35">
      <c r="A542" s="6" t="s">
        <v>10</v>
      </c>
      <c r="B542" s="6" t="s">
        <v>23</v>
      </c>
      <c r="C542" s="6" t="s">
        <v>341</v>
      </c>
      <c r="D542" s="11" t="s">
        <v>70</v>
      </c>
      <c r="E542" s="17" t="s">
        <v>75</v>
      </c>
      <c r="F542" s="17" t="s">
        <v>86</v>
      </c>
      <c r="G542" s="11" t="s">
        <v>103</v>
      </c>
      <c r="H542" s="11" t="s">
        <v>134</v>
      </c>
      <c r="I542" s="17" t="s">
        <v>138</v>
      </c>
      <c r="J542" s="17">
        <v>17.126349585836</v>
      </c>
      <c r="K542" s="17">
        <v>-96.767935762613007</v>
      </c>
      <c r="L542" s="17" t="str">
        <f>HYPERLINK("https://maps.google.com/?q=17.126349585836,-96.767935762613", "🔗 Ver Mapa")</f>
        <v>🔗 Ver Mapa</v>
      </c>
    </row>
    <row r="543" spans="1:12" ht="43.5" x14ac:dyDescent="0.35">
      <c r="A543" s="5" t="s">
        <v>2</v>
      </c>
      <c r="B543" s="5" t="s">
        <v>15</v>
      </c>
      <c r="C543" s="5" t="s">
        <v>342</v>
      </c>
      <c r="D543" s="8" t="s">
        <v>62</v>
      </c>
      <c r="E543" s="16" t="s">
        <v>75</v>
      </c>
      <c r="F543" s="16" t="s">
        <v>86</v>
      </c>
      <c r="G543" s="8" t="s">
        <v>103</v>
      </c>
      <c r="H543" s="8" t="s">
        <v>125</v>
      </c>
      <c r="I543" s="16" t="s">
        <v>138</v>
      </c>
      <c r="J543" s="16">
        <v>17.049216000000001</v>
      </c>
      <c r="K543" s="16">
        <v>-96.727602000000005</v>
      </c>
      <c r="L543" s="16" t="str">
        <f>HYPERLINK("https://maps.google.com/?q=17.049216,-96.727602", "🔗 Ver Mapa")</f>
        <v>🔗 Ver Mapa</v>
      </c>
    </row>
    <row r="544" spans="1:12" ht="43.5" x14ac:dyDescent="0.35">
      <c r="A544" s="6" t="s">
        <v>2</v>
      </c>
      <c r="B544" s="6" t="s">
        <v>15</v>
      </c>
      <c r="C544" s="6" t="s">
        <v>343</v>
      </c>
      <c r="D544" s="11" t="s">
        <v>62</v>
      </c>
      <c r="E544" s="17" t="s">
        <v>75</v>
      </c>
      <c r="F544" s="17" t="s">
        <v>86</v>
      </c>
      <c r="G544" s="11" t="s">
        <v>103</v>
      </c>
      <c r="H544" s="11" t="s">
        <v>125</v>
      </c>
      <c r="I544" s="17" t="s">
        <v>138</v>
      </c>
      <c r="J544" s="17">
        <v>17.049216000000001</v>
      </c>
      <c r="K544" s="17">
        <v>-96.727602000000005</v>
      </c>
      <c r="L544" s="17" t="str">
        <f>HYPERLINK("https://maps.google.com/?q=17.049216,-96.727602", "🔗 Ver Mapa")</f>
        <v>🔗 Ver Mapa</v>
      </c>
    </row>
    <row r="545" spans="1:12" ht="43.5" x14ac:dyDescent="0.35">
      <c r="A545" s="5" t="s">
        <v>344</v>
      </c>
      <c r="B545" s="5" t="s">
        <v>345</v>
      </c>
      <c r="C545" s="5" t="s">
        <v>346</v>
      </c>
      <c r="D545" s="8" t="s">
        <v>347</v>
      </c>
      <c r="E545" s="16" t="s">
        <v>75</v>
      </c>
      <c r="F545" s="16" t="s">
        <v>86</v>
      </c>
      <c r="G545" s="8" t="s">
        <v>103</v>
      </c>
      <c r="H545" s="8" t="s">
        <v>125</v>
      </c>
      <c r="I545" s="16" t="s">
        <v>138</v>
      </c>
      <c r="J545" s="16">
        <v>17.071544120502999</v>
      </c>
      <c r="K545" s="16">
        <v>-96.715912270784997</v>
      </c>
      <c r="L545" s="16" t="str">
        <f t="shared" ref="L545:L573" si="0">HYPERLINK("https://maps.google.com/?q=17.071544120503,-96.715912270785", "🔗 Ver Mapa")</f>
        <v>🔗 Ver Mapa</v>
      </c>
    </row>
    <row r="546" spans="1:12" ht="43.5" x14ac:dyDescent="0.35">
      <c r="A546" s="6" t="s">
        <v>344</v>
      </c>
      <c r="B546" s="6" t="s">
        <v>345</v>
      </c>
      <c r="C546" s="6" t="s">
        <v>348</v>
      </c>
      <c r="D546" s="11" t="s">
        <v>347</v>
      </c>
      <c r="E546" s="17" t="s">
        <v>75</v>
      </c>
      <c r="F546" s="17" t="s">
        <v>86</v>
      </c>
      <c r="G546" s="11" t="s">
        <v>103</v>
      </c>
      <c r="H546" s="11" t="s">
        <v>125</v>
      </c>
      <c r="I546" s="17" t="s">
        <v>138</v>
      </c>
      <c r="J546" s="17">
        <v>17.071544120502999</v>
      </c>
      <c r="K546" s="17">
        <v>-96.715912270784997</v>
      </c>
      <c r="L546" s="17" t="str">
        <f t="shared" si="0"/>
        <v>🔗 Ver Mapa</v>
      </c>
    </row>
    <row r="547" spans="1:12" ht="43.5" x14ac:dyDescent="0.35">
      <c r="A547" s="5" t="s">
        <v>344</v>
      </c>
      <c r="B547" s="5" t="s">
        <v>345</v>
      </c>
      <c r="C547" s="5" t="s">
        <v>349</v>
      </c>
      <c r="D547" s="8" t="s">
        <v>347</v>
      </c>
      <c r="E547" s="16" t="s">
        <v>75</v>
      </c>
      <c r="F547" s="16" t="s">
        <v>86</v>
      </c>
      <c r="G547" s="8" t="s">
        <v>103</v>
      </c>
      <c r="H547" s="8" t="s">
        <v>125</v>
      </c>
      <c r="I547" s="16" t="s">
        <v>138</v>
      </c>
      <c r="J547" s="16">
        <v>17.071544120502999</v>
      </c>
      <c r="K547" s="16">
        <v>-96.715912270784997</v>
      </c>
      <c r="L547" s="16" t="str">
        <f t="shared" si="0"/>
        <v>🔗 Ver Mapa</v>
      </c>
    </row>
    <row r="548" spans="1:12" ht="43.5" x14ac:dyDescent="0.35">
      <c r="A548" s="6" t="s">
        <v>344</v>
      </c>
      <c r="B548" s="6" t="s">
        <v>345</v>
      </c>
      <c r="C548" s="6" t="s">
        <v>350</v>
      </c>
      <c r="D548" s="11" t="s">
        <v>347</v>
      </c>
      <c r="E548" s="17" t="s">
        <v>75</v>
      </c>
      <c r="F548" s="17" t="s">
        <v>86</v>
      </c>
      <c r="G548" s="11" t="s">
        <v>103</v>
      </c>
      <c r="H548" s="11" t="s">
        <v>125</v>
      </c>
      <c r="I548" s="17" t="s">
        <v>138</v>
      </c>
      <c r="J548" s="17">
        <v>17.071544120502999</v>
      </c>
      <c r="K548" s="17">
        <v>-96.715912270784997</v>
      </c>
      <c r="L548" s="17" t="str">
        <f t="shared" si="0"/>
        <v>🔗 Ver Mapa</v>
      </c>
    </row>
    <row r="549" spans="1:12" ht="43.5" x14ac:dyDescent="0.35">
      <c r="A549" s="5" t="s">
        <v>344</v>
      </c>
      <c r="B549" s="5" t="s">
        <v>345</v>
      </c>
      <c r="C549" s="5" t="s">
        <v>351</v>
      </c>
      <c r="D549" s="8" t="s">
        <v>347</v>
      </c>
      <c r="E549" s="16" t="s">
        <v>75</v>
      </c>
      <c r="F549" s="16" t="s">
        <v>86</v>
      </c>
      <c r="G549" s="8" t="s">
        <v>103</v>
      </c>
      <c r="H549" s="8" t="s">
        <v>125</v>
      </c>
      <c r="I549" s="16" t="s">
        <v>138</v>
      </c>
      <c r="J549" s="16">
        <v>17.071544120502999</v>
      </c>
      <c r="K549" s="16">
        <v>-96.715912270784997</v>
      </c>
      <c r="L549" s="16" t="str">
        <f t="shared" si="0"/>
        <v>🔗 Ver Mapa</v>
      </c>
    </row>
    <row r="550" spans="1:12" ht="43.5" x14ac:dyDescent="0.35">
      <c r="A550" s="6" t="s">
        <v>344</v>
      </c>
      <c r="B550" s="6" t="s">
        <v>345</v>
      </c>
      <c r="C550" s="6" t="s">
        <v>352</v>
      </c>
      <c r="D550" s="11" t="s">
        <v>347</v>
      </c>
      <c r="E550" s="17" t="s">
        <v>75</v>
      </c>
      <c r="F550" s="17" t="s">
        <v>86</v>
      </c>
      <c r="G550" s="11" t="s">
        <v>103</v>
      </c>
      <c r="H550" s="11" t="s">
        <v>125</v>
      </c>
      <c r="I550" s="17" t="s">
        <v>138</v>
      </c>
      <c r="J550" s="17">
        <v>17.071544120502999</v>
      </c>
      <c r="K550" s="17">
        <v>-96.715912270784997</v>
      </c>
      <c r="L550" s="17" t="str">
        <f t="shared" si="0"/>
        <v>🔗 Ver Mapa</v>
      </c>
    </row>
    <row r="551" spans="1:12" ht="43.5" x14ac:dyDescent="0.35">
      <c r="A551" s="5" t="s">
        <v>344</v>
      </c>
      <c r="B551" s="5" t="s">
        <v>345</v>
      </c>
      <c r="C551" s="5" t="s">
        <v>353</v>
      </c>
      <c r="D551" s="8" t="s">
        <v>347</v>
      </c>
      <c r="E551" s="16" t="s">
        <v>75</v>
      </c>
      <c r="F551" s="16" t="s">
        <v>86</v>
      </c>
      <c r="G551" s="8" t="s">
        <v>103</v>
      </c>
      <c r="H551" s="8" t="s">
        <v>125</v>
      </c>
      <c r="I551" s="16" t="s">
        <v>138</v>
      </c>
      <c r="J551" s="16">
        <v>17.071544120502999</v>
      </c>
      <c r="K551" s="16">
        <v>-96.715912270784997</v>
      </c>
      <c r="L551" s="16" t="str">
        <f t="shared" si="0"/>
        <v>🔗 Ver Mapa</v>
      </c>
    </row>
    <row r="552" spans="1:12" ht="43.5" x14ac:dyDescent="0.35">
      <c r="A552" s="6" t="s">
        <v>344</v>
      </c>
      <c r="B552" s="6" t="s">
        <v>345</v>
      </c>
      <c r="C552" s="6" t="s">
        <v>354</v>
      </c>
      <c r="D552" s="11" t="s">
        <v>347</v>
      </c>
      <c r="E552" s="17" t="s">
        <v>75</v>
      </c>
      <c r="F552" s="17" t="s">
        <v>86</v>
      </c>
      <c r="G552" s="11" t="s">
        <v>103</v>
      </c>
      <c r="H552" s="11" t="s">
        <v>125</v>
      </c>
      <c r="I552" s="17" t="s">
        <v>138</v>
      </c>
      <c r="J552" s="17">
        <v>17.071544120502999</v>
      </c>
      <c r="K552" s="17">
        <v>-96.715912270784997</v>
      </c>
      <c r="L552" s="17" t="str">
        <f t="shared" si="0"/>
        <v>🔗 Ver Mapa</v>
      </c>
    </row>
    <row r="553" spans="1:12" ht="43.5" x14ac:dyDescent="0.35">
      <c r="A553" s="5" t="s">
        <v>344</v>
      </c>
      <c r="B553" s="5" t="s">
        <v>345</v>
      </c>
      <c r="C553" s="5" t="s">
        <v>355</v>
      </c>
      <c r="D553" s="8" t="s">
        <v>347</v>
      </c>
      <c r="E553" s="16" t="s">
        <v>75</v>
      </c>
      <c r="F553" s="16" t="s">
        <v>86</v>
      </c>
      <c r="G553" s="8" t="s">
        <v>103</v>
      </c>
      <c r="H553" s="8" t="s">
        <v>125</v>
      </c>
      <c r="I553" s="16" t="s">
        <v>138</v>
      </c>
      <c r="J553" s="16">
        <v>17.071544120502999</v>
      </c>
      <c r="K553" s="16">
        <v>-96.715912270784997</v>
      </c>
      <c r="L553" s="16" t="str">
        <f t="shared" si="0"/>
        <v>🔗 Ver Mapa</v>
      </c>
    </row>
    <row r="554" spans="1:12" ht="43.5" x14ac:dyDescent="0.35">
      <c r="A554" s="6" t="s">
        <v>344</v>
      </c>
      <c r="B554" s="6" t="s">
        <v>345</v>
      </c>
      <c r="C554" s="6" t="s">
        <v>356</v>
      </c>
      <c r="D554" s="11" t="s">
        <v>347</v>
      </c>
      <c r="E554" s="17" t="s">
        <v>75</v>
      </c>
      <c r="F554" s="17" t="s">
        <v>86</v>
      </c>
      <c r="G554" s="11" t="s">
        <v>103</v>
      </c>
      <c r="H554" s="11" t="s">
        <v>125</v>
      </c>
      <c r="I554" s="17" t="s">
        <v>138</v>
      </c>
      <c r="J554" s="17">
        <v>17.071544120502999</v>
      </c>
      <c r="K554" s="17">
        <v>-96.715912270784997</v>
      </c>
      <c r="L554" s="17" t="str">
        <f t="shared" si="0"/>
        <v>🔗 Ver Mapa</v>
      </c>
    </row>
    <row r="555" spans="1:12" ht="43.5" x14ac:dyDescent="0.35">
      <c r="A555" s="5" t="s">
        <v>344</v>
      </c>
      <c r="B555" s="5" t="s">
        <v>345</v>
      </c>
      <c r="C555" s="5" t="s">
        <v>357</v>
      </c>
      <c r="D555" s="8" t="s">
        <v>347</v>
      </c>
      <c r="E555" s="16" t="s">
        <v>75</v>
      </c>
      <c r="F555" s="16" t="s">
        <v>86</v>
      </c>
      <c r="G555" s="8" t="s">
        <v>103</v>
      </c>
      <c r="H555" s="8" t="s">
        <v>125</v>
      </c>
      <c r="I555" s="16" t="s">
        <v>138</v>
      </c>
      <c r="J555" s="16">
        <v>17.071544120502999</v>
      </c>
      <c r="K555" s="16">
        <v>-96.715912270784997</v>
      </c>
      <c r="L555" s="16" t="str">
        <f t="shared" si="0"/>
        <v>🔗 Ver Mapa</v>
      </c>
    </row>
    <row r="556" spans="1:12" ht="72.5" x14ac:dyDescent="0.35">
      <c r="A556" s="6" t="s">
        <v>344</v>
      </c>
      <c r="B556" s="6" t="s">
        <v>345</v>
      </c>
      <c r="C556" s="6" t="s">
        <v>358</v>
      </c>
      <c r="D556" s="11" t="s">
        <v>347</v>
      </c>
      <c r="E556" s="17" t="s">
        <v>75</v>
      </c>
      <c r="F556" s="17" t="s">
        <v>86</v>
      </c>
      <c r="G556" s="11" t="s">
        <v>103</v>
      </c>
      <c r="H556" s="11" t="s">
        <v>125</v>
      </c>
      <c r="I556" s="17" t="s">
        <v>138</v>
      </c>
      <c r="J556" s="17">
        <v>17.071544120502999</v>
      </c>
      <c r="K556" s="17">
        <v>-96.715912270784997</v>
      </c>
      <c r="L556" s="17" t="str">
        <f t="shared" si="0"/>
        <v>🔗 Ver Mapa</v>
      </c>
    </row>
    <row r="557" spans="1:12" ht="72.5" x14ac:dyDescent="0.35">
      <c r="A557" s="5" t="s">
        <v>344</v>
      </c>
      <c r="B557" s="5" t="s">
        <v>345</v>
      </c>
      <c r="C557" s="5" t="s">
        <v>359</v>
      </c>
      <c r="D557" s="8" t="s">
        <v>347</v>
      </c>
      <c r="E557" s="16" t="s">
        <v>75</v>
      </c>
      <c r="F557" s="16" t="s">
        <v>86</v>
      </c>
      <c r="G557" s="8" t="s">
        <v>103</v>
      </c>
      <c r="H557" s="8" t="s">
        <v>125</v>
      </c>
      <c r="I557" s="16" t="s">
        <v>138</v>
      </c>
      <c r="J557" s="16">
        <v>17.071544120502999</v>
      </c>
      <c r="K557" s="16">
        <v>-96.715912270784997</v>
      </c>
      <c r="L557" s="16" t="str">
        <f t="shared" si="0"/>
        <v>🔗 Ver Mapa</v>
      </c>
    </row>
    <row r="558" spans="1:12" ht="43.5" x14ac:dyDescent="0.35">
      <c r="A558" s="6" t="s">
        <v>344</v>
      </c>
      <c r="B558" s="6" t="s">
        <v>345</v>
      </c>
      <c r="C558" s="6" t="s">
        <v>360</v>
      </c>
      <c r="D558" s="11" t="s">
        <v>347</v>
      </c>
      <c r="E558" s="17" t="s">
        <v>75</v>
      </c>
      <c r="F558" s="17" t="s">
        <v>86</v>
      </c>
      <c r="G558" s="11" t="s">
        <v>103</v>
      </c>
      <c r="H558" s="11" t="s">
        <v>125</v>
      </c>
      <c r="I558" s="17" t="s">
        <v>138</v>
      </c>
      <c r="J558" s="17">
        <v>17.071544120502999</v>
      </c>
      <c r="K558" s="17">
        <v>-96.715912270784997</v>
      </c>
      <c r="L558" s="17" t="str">
        <f t="shared" si="0"/>
        <v>🔗 Ver Mapa</v>
      </c>
    </row>
    <row r="559" spans="1:12" ht="43.5" x14ac:dyDescent="0.35">
      <c r="A559" s="5" t="s">
        <v>344</v>
      </c>
      <c r="B559" s="5" t="s">
        <v>345</v>
      </c>
      <c r="C559" s="5" t="s">
        <v>361</v>
      </c>
      <c r="D559" s="8" t="s">
        <v>347</v>
      </c>
      <c r="E559" s="16" t="s">
        <v>75</v>
      </c>
      <c r="F559" s="16" t="s">
        <v>86</v>
      </c>
      <c r="G559" s="8" t="s">
        <v>103</v>
      </c>
      <c r="H559" s="8" t="s">
        <v>125</v>
      </c>
      <c r="I559" s="16" t="s">
        <v>138</v>
      </c>
      <c r="J559" s="16">
        <v>17.071544120502999</v>
      </c>
      <c r="K559" s="16">
        <v>-96.715912270784997</v>
      </c>
      <c r="L559" s="16" t="str">
        <f t="shared" si="0"/>
        <v>🔗 Ver Mapa</v>
      </c>
    </row>
    <row r="560" spans="1:12" ht="43.5" x14ac:dyDescent="0.35">
      <c r="A560" s="6" t="s">
        <v>344</v>
      </c>
      <c r="B560" s="6" t="s">
        <v>345</v>
      </c>
      <c r="C560" s="6" t="s">
        <v>362</v>
      </c>
      <c r="D560" s="11" t="s">
        <v>347</v>
      </c>
      <c r="E560" s="17" t="s">
        <v>75</v>
      </c>
      <c r="F560" s="17" t="s">
        <v>86</v>
      </c>
      <c r="G560" s="11" t="s">
        <v>103</v>
      </c>
      <c r="H560" s="11" t="s">
        <v>125</v>
      </c>
      <c r="I560" s="17" t="s">
        <v>138</v>
      </c>
      <c r="J560" s="17">
        <v>17.071544120502999</v>
      </c>
      <c r="K560" s="17">
        <v>-96.715912270784997</v>
      </c>
      <c r="L560" s="17" t="str">
        <f t="shared" si="0"/>
        <v>🔗 Ver Mapa</v>
      </c>
    </row>
    <row r="561" spans="1:12" ht="43.5" x14ac:dyDescent="0.35">
      <c r="A561" s="5" t="s">
        <v>344</v>
      </c>
      <c r="B561" s="5" t="s">
        <v>345</v>
      </c>
      <c r="C561" s="5" t="s">
        <v>363</v>
      </c>
      <c r="D561" s="8" t="s">
        <v>347</v>
      </c>
      <c r="E561" s="16" t="s">
        <v>75</v>
      </c>
      <c r="F561" s="16" t="s">
        <v>86</v>
      </c>
      <c r="G561" s="8" t="s">
        <v>103</v>
      </c>
      <c r="H561" s="8" t="s">
        <v>125</v>
      </c>
      <c r="I561" s="16" t="s">
        <v>138</v>
      </c>
      <c r="J561" s="16">
        <v>17.071544120502999</v>
      </c>
      <c r="K561" s="16">
        <v>-96.715912270784997</v>
      </c>
      <c r="L561" s="16" t="str">
        <f t="shared" si="0"/>
        <v>🔗 Ver Mapa</v>
      </c>
    </row>
    <row r="562" spans="1:12" ht="43.5" x14ac:dyDescent="0.35">
      <c r="A562" s="6" t="s">
        <v>344</v>
      </c>
      <c r="B562" s="6" t="s">
        <v>345</v>
      </c>
      <c r="C562" s="6" t="s">
        <v>364</v>
      </c>
      <c r="D562" s="11" t="s">
        <v>347</v>
      </c>
      <c r="E562" s="17" t="s">
        <v>75</v>
      </c>
      <c r="F562" s="17" t="s">
        <v>86</v>
      </c>
      <c r="G562" s="11" t="s">
        <v>103</v>
      </c>
      <c r="H562" s="11" t="s">
        <v>125</v>
      </c>
      <c r="I562" s="17" t="s">
        <v>138</v>
      </c>
      <c r="J562" s="17">
        <v>17.071544120502999</v>
      </c>
      <c r="K562" s="17">
        <v>-96.715912270784997</v>
      </c>
      <c r="L562" s="17" t="str">
        <f t="shared" si="0"/>
        <v>🔗 Ver Mapa</v>
      </c>
    </row>
    <row r="563" spans="1:12" ht="43.5" x14ac:dyDescent="0.35">
      <c r="A563" s="5" t="s">
        <v>344</v>
      </c>
      <c r="B563" s="5" t="s">
        <v>345</v>
      </c>
      <c r="C563" s="5" t="s">
        <v>365</v>
      </c>
      <c r="D563" s="8" t="s">
        <v>347</v>
      </c>
      <c r="E563" s="16" t="s">
        <v>75</v>
      </c>
      <c r="F563" s="16" t="s">
        <v>86</v>
      </c>
      <c r="G563" s="8" t="s">
        <v>103</v>
      </c>
      <c r="H563" s="8" t="s">
        <v>125</v>
      </c>
      <c r="I563" s="16" t="s">
        <v>138</v>
      </c>
      <c r="J563" s="16">
        <v>17.071544120502999</v>
      </c>
      <c r="K563" s="16">
        <v>-96.715912270784997</v>
      </c>
      <c r="L563" s="16" t="str">
        <f t="shared" si="0"/>
        <v>🔗 Ver Mapa</v>
      </c>
    </row>
    <row r="564" spans="1:12" ht="43.5" x14ac:dyDescent="0.35">
      <c r="A564" s="6" t="s">
        <v>344</v>
      </c>
      <c r="B564" s="6" t="s">
        <v>345</v>
      </c>
      <c r="C564" s="6" t="s">
        <v>366</v>
      </c>
      <c r="D564" s="11" t="s">
        <v>347</v>
      </c>
      <c r="E564" s="17" t="s">
        <v>75</v>
      </c>
      <c r="F564" s="17" t="s">
        <v>86</v>
      </c>
      <c r="G564" s="11" t="s">
        <v>103</v>
      </c>
      <c r="H564" s="11" t="s">
        <v>125</v>
      </c>
      <c r="I564" s="17" t="s">
        <v>138</v>
      </c>
      <c r="J564" s="17">
        <v>17.071544120502999</v>
      </c>
      <c r="K564" s="17">
        <v>-96.715912270784997</v>
      </c>
      <c r="L564" s="17" t="str">
        <f t="shared" si="0"/>
        <v>🔗 Ver Mapa</v>
      </c>
    </row>
    <row r="565" spans="1:12" ht="43.5" x14ac:dyDescent="0.35">
      <c r="A565" s="5" t="s">
        <v>344</v>
      </c>
      <c r="B565" s="5" t="s">
        <v>345</v>
      </c>
      <c r="C565" s="5" t="s">
        <v>367</v>
      </c>
      <c r="D565" s="8" t="s">
        <v>347</v>
      </c>
      <c r="E565" s="16" t="s">
        <v>75</v>
      </c>
      <c r="F565" s="16" t="s">
        <v>86</v>
      </c>
      <c r="G565" s="8" t="s">
        <v>103</v>
      </c>
      <c r="H565" s="8" t="s">
        <v>125</v>
      </c>
      <c r="I565" s="16" t="s">
        <v>138</v>
      </c>
      <c r="J565" s="16">
        <v>17.071544120502999</v>
      </c>
      <c r="K565" s="16">
        <v>-96.715912270784997</v>
      </c>
      <c r="L565" s="16" t="str">
        <f t="shared" si="0"/>
        <v>🔗 Ver Mapa</v>
      </c>
    </row>
    <row r="566" spans="1:12" ht="43.5" x14ac:dyDescent="0.35">
      <c r="A566" s="6" t="s">
        <v>344</v>
      </c>
      <c r="B566" s="6" t="s">
        <v>345</v>
      </c>
      <c r="C566" s="6" t="s">
        <v>368</v>
      </c>
      <c r="D566" s="11" t="s">
        <v>347</v>
      </c>
      <c r="E566" s="17" t="s">
        <v>75</v>
      </c>
      <c r="F566" s="17" t="s">
        <v>86</v>
      </c>
      <c r="G566" s="11" t="s">
        <v>103</v>
      </c>
      <c r="H566" s="11" t="s">
        <v>125</v>
      </c>
      <c r="I566" s="17" t="s">
        <v>138</v>
      </c>
      <c r="J566" s="17">
        <v>17.071544120502999</v>
      </c>
      <c r="K566" s="17">
        <v>-96.715912270784997</v>
      </c>
      <c r="L566" s="17" t="str">
        <f t="shared" si="0"/>
        <v>🔗 Ver Mapa</v>
      </c>
    </row>
    <row r="567" spans="1:12" ht="43.5" x14ac:dyDescent="0.35">
      <c r="A567" s="5" t="s">
        <v>344</v>
      </c>
      <c r="B567" s="5" t="s">
        <v>345</v>
      </c>
      <c r="C567" s="5" t="s">
        <v>369</v>
      </c>
      <c r="D567" s="8" t="s">
        <v>347</v>
      </c>
      <c r="E567" s="16" t="s">
        <v>75</v>
      </c>
      <c r="F567" s="16" t="s">
        <v>86</v>
      </c>
      <c r="G567" s="8" t="s">
        <v>103</v>
      </c>
      <c r="H567" s="8" t="s">
        <v>125</v>
      </c>
      <c r="I567" s="16" t="s">
        <v>138</v>
      </c>
      <c r="J567" s="16">
        <v>17.071544120502999</v>
      </c>
      <c r="K567" s="16">
        <v>-96.715912270784997</v>
      </c>
      <c r="L567" s="16" t="str">
        <f t="shared" si="0"/>
        <v>🔗 Ver Mapa</v>
      </c>
    </row>
    <row r="568" spans="1:12" ht="43.5" x14ac:dyDescent="0.35">
      <c r="A568" s="6" t="s">
        <v>344</v>
      </c>
      <c r="B568" s="6" t="s">
        <v>345</v>
      </c>
      <c r="C568" s="6" t="s">
        <v>370</v>
      </c>
      <c r="D568" s="11" t="s">
        <v>347</v>
      </c>
      <c r="E568" s="17" t="s">
        <v>75</v>
      </c>
      <c r="F568" s="17" t="s">
        <v>86</v>
      </c>
      <c r="G568" s="11" t="s">
        <v>103</v>
      </c>
      <c r="H568" s="11" t="s">
        <v>125</v>
      </c>
      <c r="I568" s="17" t="s">
        <v>138</v>
      </c>
      <c r="J568" s="17">
        <v>17.071544120502999</v>
      </c>
      <c r="K568" s="17">
        <v>-96.715912270784997</v>
      </c>
      <c r="L568" s="17" t="str">
        <f t="shared" si="0"/>
        <v>🔗 Ver Mapa</v>
      </c>
    </row>
    <row r="569" spans="1:12" ht="43.5" x14ac:dyDescent="0.35">
      <c r="A569" s="5" t="s">
        <v>344</v>
      </c>
      <c r="B569" s="5" t="s">
        <v>345</v>
      </c>
      <c r="C569" s="5" t="s">
        <v>371</v>
      </c>
      <c r="D569" s="8" t="s">
        <v>347</v>
      </c>
      <c r="E569" s="16" t="s">
        <v>75</v>
      </c>
      <c r="F569" s="16" t="s">
        <v>86</v>
      </c>
      <c r="G569" s="8" t="s">
        <v>103</v>
      </c>
      <c r="H569" s="8" t="s">
        <v>125</v>
      </c>
      <c r="I569" s="16" t="s">
        <v>138</v>
      </c>
      <c r="J569" s="16">
        <v>17.071544120502999</v>
      </c>
      <c r="K569" s="16">
        <v>-96.715912270784997</v>
      </c>
      <c r="L569" s="16" t="str">
        <f t="shared" si="0"/>
        <v>🔗 Ver Mapa</v>
      </c>
    </row>
    <row r="570" spans="1:12" ht="43.5" x14ac:dyDescent="0.35">
      <c r="A570" s="6" t="s">
        <v>344</v>
      </c>
      <c r="B570" s="6" t="s">
        <v>345</v>
      </c>
      <c r="C570" s="6" t="s">
        <v>372</v>
      </c>
      <c r="D570" s="11" t="s">
        <v>347</v>
      </c>
      <c r="E570" s="17" t="s">
        <v>75</v>
      </c>
      <c r="F570" s="17" t="s">
        <v>86</v>
      </c>
      <c r="G570" s="11" t="s">
        <v>103</v>
      </c>
      <c r="H570" s="11" t="s">
        <v>125</v>
      </c>
      <c r="I570" s="17" t="s">
        <v>138</v>
      </c>
      <c r="J570" s="17">
        <v>17.071544120502999</v>
      </c>
      <c r="K570" s="17">
        <v>-96.715912270784997</v>
      </c>
      <c r="L570" s="17" t="str">
        <f t="shared" si="0"/>
        <v>🔗 Ver Mapa</v>
      </c>
    </row>
    <row r="571" spans="1:12" ht="43.5" x14ac:dyDescent="0.35">
      <c r="A571" s="5" t="s">
        <v>344</v>
      </c>
      <c r="B571" s="5" t="s">
        <v>345</v>
      </c>
      <c r="C571" s="5" t="s">
        <v>373</v>
      </c>
      <c r="D571" s="8" t="s">
        <v>347</v>
      </c>
      <c r="E571" s="16" t="s">
        <v>75</v>
      </c>
      <c r="F571" s="16" t="s">
        <v>86</v>
      </c>
      <c r="G571" s="8" t="s">
        <v>103</v>
      </c>
      <c r="H571" s="8" t="s">
        <v>125</v>
      </c>
      <c r="I571" s="16" t="s">
        <v>138</v>
      </c>
      <c r="J571" s="16">
        <v>17.071544120502999</v>
      </c>
      <c r="K571" s="16">
        <v>-96.715912270784997</v>
      </c>
      <c r="L571" s="16" t="str">
        <f t="shared" si="0"/>
        <v>🔗 Ver Mapa</v>
      </c>
    </row>
    <row r="572" spans="1:12" ht="43.5" x14ac:dyDescent="0.35">
      <c r="A572" s="6" t="s">
        <v>344</v>
      </c>
      <c r="B572" s="6" t="s">
        <v>345</v>
      </c>
      <c r="C572" s="6" t="s">
        <v>374</v>
      </c>
      <c r="D572" s="11" t="s">
        <v>347</v>
      </c>
      <c r="E572" s="17" t="s">
        <v>75</v>
      </c>
      <c r="F572" s="17" t="s">
        <v>86</v>
      </c>
      <c r="G572" s="11" t="s">
        <v>103</v>
      </c>
      <c r="H572" s="11" t="s">
        <v>125</v>
      </c>
      <c r="I572" s="17" t="s">
        <v>138</v>
      </c>
      <c r="J572" s="17">
        <v>17.071544120502999</v>
      </c>
      <c r="K572" s="17">
        <v>-96.715912270784997</v>
      </c>
      <c r="L572" s="17" t="str">
        <f t="shared" si="0"/>
        <v>🔗 Ver Mapa</v>
      </c>
    </row>
    <row r="573" spans="1:12" ht="43.5" x14ac:dyDescent="0.35">
      <c r="A573" s="5" t="s">
        <v>344</v>
      </c>
      <c r="B573" s="5" t="s">
        <v>345</v>
      </c>
      <c r="C573" s="5" t="s">
        <v>375</v>
      </c>
      <c r="D573" s="8" t="s">
        <v>347</v>
      </c>
      <c r="E573" s="16" t="s">
        <v>75</v>
      </c>
      <c r="F573" s="16" t="s">
        <v>86</v>
      </c>
      <c r="G573" s="8" t="s">
        <v>103</v>
      </c>
      <c r="H573" s="8" t="s">
        <v>125</v>
      </c>
      <c r="I573" s="16" t="s">
        <v>138</v>
      </c>
      <c r="J573" s="16">
        <v>17.071544120502999</v>
      </c>
      <c r="K573" s="16">
        <v>-96.715912270784997</v>
      </c>
      <c r="L573" s="16" t="str">
        <f t="shared" si="0"/>
        <v>🔗 Ver Mapa</v>
      </c>
    </row>
    <row r="574" spans="1:12" ht="43.5" x14ac:dyDescent="0.35">
      <c r="A574" s="6" t="s">
        <v>9</v>
      </c>
      <c r="B574" s="6" t="s">
        <v>22</v>
      </c>
      <c r="C574" s="6" t="s">
        <v>376</v>
      </c>
      <c r="D574" s="11" t="s">
        <v>65</v>
      </c>
      <c r="E574" s="17" t="s">
        <v>75</v>
      </c>
      <c r="F574" s="17" t="s">
        <v>86</v>
      </c>
      <c r="G574" s="11" t="s">
        <v>103</v>
      </c>
      <c r="H574" s="11" t="s">
        <v>125</v>
      </c>
      <c r="I574" s="17" t="s">
        <v>138</v>
      </c>
      <c r="J574" s="17">
        <v>17.063696</v>
      </c>
      <c r="K574" s="17">
        <v>-96.729601000000002</v>
      </c>
      <c r="L574" s="17" t="str">
        <f>HYPERLINK("https://maps.google.com/?q=17.063696,-96.729601", "🔗 Ver Mapa")</f>
        <v>🔗 Ver Mapa</v>
      </c>
    </row>
    <row r="575" spans="1:12" ht="43.5" x14ac:dyDescent="0.35">
      <c r="A575" s="5" t="s">
        <v>291</v>
      </c>
      <c r="B575" s="5" t="s">
        <v>292</v>
      </c>
      <c r="C575" s="5" t="s">
        <v>377</v>
      </c>
      <c r="D575" s="8" t="s">
        <v>294</v>
      </c>
      <c r="E575" s="16" t="s">
        <v>75</v>
      </c>
      <c r="F575" s="16" t="s">
        <v>86</v>
      </c>
      <c r="G575" s="8" t="s">
        <v>103</v>
      </c>
      <c r="H575" s="8" t="s">
        <v>125</v>
      </c>
      <c r="I575" s="16" t="s">
        <v>296</v>
      </c>
      <c r="J575" s="16">
        <v>17.034890532426999</v>
      </c>
      <c r="K575" s="16">
        <v>-96.714755336742002</v>
      </c>
      <c r="L575" s="16" t="str">
        <f>HYPERLINK("https://maps.google.com/?q=17.034890532427,-96.714755336742", "🔗 Ver Mapa")</f>
        <v>🔗 Ver Mapa</v>
      </c>
    </row>
    <row r="576" spans="1:12" ht="43.5" x14ac:dyDescent="0.35">
      <c r="A576" s="6" t="s">
        <v>291</v>
      </c>
      <c r="B576" s="6" t="s">
        <v>292</v>
      </c>
      <c r="C576" s="6" t="s">
        <v>377</v>
      </c>
      <c r="D576" s="11" t="s">
        <v>294</v>
      </c>
      <c r="E576" s="17" t="s">
        <v>75</v>
      </c>
      <c r="F576" s="17" t="s">
        <v>86</v>
      </c>
      <c r="G576" s="11" t="s">
        <v>103</v>
      </c>
      <c r="H576" s="11" t="s">
        <v>125</v>
      </c>
      <c r="I576" s="17" t="s">
        <v>296</v>
      </c>
      <c r="J576" s="17">
        <v>17.035360731760999</v>
      </c>
      <c r="K576" s="17">
        <v>-96.714968129921999</v>
      </c>
      <c r="L576" s="17" t="str">
        <f>HYPERLINK("https://maps.google.com/?q=17.035360731761,-96.714968129922", "🔗 Ver Mapa")</f>
        <v>🔗 Ver Mapa</v>
      </c>
    </row>
    <row r="577" spans="1:12" ht="43.5" x14ac:dyDescent="0.35">
      <c r="A577" s="5" t="s">
        <v>291</v>
      </c>
      <c r="B577" s="5" t="s">
        <v>292</v>
      </c>
      <c r="C577" s="5" t="s">
        <v>377</v>
      </c>
      <c r="D577" s="8" t="s">
        <v>294</v>
      </c>
      <c r="E577" s="16" t="s">
        <v>75</v>
      </c>
      <c r="F577" s="16" t="s">
        <v>86</v>
      </c>
      <c r="G577" s="8" t="s">
        <v>103</v>
      </c>
      <c r="H577" s="8" t="s">
        <v>125</v>
      </c>
      <c r="I577" s="16" t="s">
        <v>296</v>
      </c>
      <c r="J577" s="16">
        <v>17.035526316412</v>
      </c>
      <c r="K577" s="16">
        <v>-96.714971478777997</v>
      </c>
      <c r="L577" s="16" t="str">
        <f>HYPERLINK("https://maps.google.com/?q=17.035526316412,-96.714971478778", "🔗 Ver Mapa")</f>
        <v>🔗 Ver Mapa</v>
      </c>
    </row>
    <row r="578" spans="1:12" ht="43.5" x14ac:dyDescent="0.35">
      <c r="A578" s="6" t="s">
        <v>291</v>
      </c>
      <c r="B578" s="6" t="s">
        <v>292</v>
      </c>
      <c r="C578" s="6" t="s">
        <v>377</v>
      </c>
      <c r="D578" s="11" t="s">
        <v>294</v>
      </c>
      <c r="E578" s="17" t="s">
        <v>75</v>
      </c>
      <c r="F578" s="17" t="s">
        <v>86</v>
      </c>
      <c r="G578" s="11" t="s">
        <v>103</v>
      </c>
      <c r="H578" s="11" t="s">
        <v>125</v>
      </c>
      <c r="I578" s="17" t="s">
        <v>296</v>
      </c>
      <c r="J578" s="17">
        <v>17.036843829860999</v>
      </c>
      <c r="K578" s="17">
        <v>-96.706439447587996</v>
      </c>
      <c r="L578" s="17" t="str">
        <f>HYPERLINK("https://maps.google.com/?q=17.036843829861,-96.706439447588", "🔗 Ver Mapa")</f>
        <v>🔗 Ver Mapa</v>
      </c>
    </row>
    <row r="579" spans="1:12" ht="43.5" x14ac:dyDescent="0.35">
      <c r="A579" s="5" t="s">
        <v>291</v>
      </c>
      <c r="B579" s="5" t="s">
        <v>292</v>
      </c>
      <c r="C579" s="5" t="s">
        <v>377</v>
      </c>
      <c r="D579" s="8" t="s">
        <v>294</v>
      </c>
      <c r="E579" s="16" t="s">
        <v>75</v>
      </c>
      <c r="F579" s="16" t="s">
        <v>86</v>
      </c>
      <c r="G579" s="8" t="s">
        <v>103</v>
      </c>
      <c r="H579" s="8" t="s">
        <v>125</v>
      </c>
      <c r="I579" s="16" t="s">
        <v>296</v>
      </c>
      <c r="J579" s="16">
        <v>17.037893496832002</v>
      </c>
      <c r="K579" s="16">
        <v>-96.710667106646994</v>
      </c>
      <c r="L579" s="16" t="str">
        <f>HYPERLINK("https://maps.google.com/?q=17.037893496832,-96.710667106647", "🔗 Ver Mapa")</f>
        <v>🔗 Ver Mapa</v>
      </c>
    </row>
    <row r="580" spans="1:12" ht="43.5" x14ac:dyDescent="0.35">
      <c r="A580" s="6" t="s">
        <v>291</v>
      </c>
      <c r="B580" s="6" t="s">
        <v>292</v>
      </c>
      <c r="C580" s="6" t="s">
        <v>377</v>
      </c>
      <c r="D580" s="11" t="s">
        <v>294</v>
      </c>
      <c r="E580" s="17" t="s">
        <v>75</v>
      </c>
      <c r="F580" s="17" t="s">
        <v>86</v>
      </c>
      <c r="G580" s="11" t="s">
        <v>103</v>
      </c>
      <c r="H580" s="11" t="s">
        <v>125</v>
      </c>
      <c r="I580" s="17" t="s">
        <v>296</v>
      </c>
      <c r="J580" s="17">
        <v>17.039148870849001</v>
      </c>
      <c r="K580" s="17">
        <v>-96.717464516006004</v>
      </c>
      <c r="L580" s="17" t="str">
        <f>HYPERLINK("https://maps.google.com/?q=17.039148870849,-96.717464516006", "🔗 Ver Mapa")</f>
        <v>🔗 Ver Mapa</v>
      </c>
    </row>
    <row r="581" spans="1:12" ht="43.5" x14ac:dyDescent="0.35">
      <c r="A581" s="5" t="s">
        <v>291</v>
      </c>
      <c r="B581" s="5" t="s">
        <v>292</v>
      </c>
      <c r="C581" s="5" t="s">
        <v>377</v>
      </c>
      <c r="D581" s="8" t="s">
        <v>294</v>
      </c>
      <c r="E581" s="16" t="s">
        <v>75</v>
      </c>
      <c r="F581" s="16" t="s">
        <v>86</v>
      </c>
      <c r="G581" s="8" t="s">
        <v>103</v>
      </c>
      <c r="H581" s="8" t="s">
        <v>125</v>
      </c>
      <c r="I581" s="16" t="s">
        <v>296</v>
      </c>
      <c r="J581" s="16">
        <v>17.039172540582001</v>
      </c>
      <c r="K581" s="16">
        <v>-96.717635716087003</v>
      </c>
      <c r="L581" s="16" t="str">
        <f>HYPERLINK("https://maps.google.com/?q=17.039172540582,-96.717635716087", "🔗 Ver Mapa")</f>
        <v>🔗 Ver Mapa</v>
      </c>
    </row>
    <row r="582" spans="1:12" ht="43.5" x14ac:dyDescent="0.35">
      <c r="A582" s="6" t="s">
        <v>291</v>
      </c>
      <c r="B582" s="6" t="s">
        <v>292</v>
      </c>
      <c r="C582" s="6" t="s">
        <v>377</v>
      </c>
      <c r="D582" s="11" t="s">
        <v>294</v>
      </c>
      <c r="E582" s="17" t="s">
        <v>75</v>
      </c>
      <c r="F582" s="17" t="s">
        <v>86</v>
      </c>
      <c r="G582" s="11" t="s">
        <v>103</v>
      </c>
      <c r="H582" s="11" t="s">
        <v>125</v>
      </c>
      <c r="I582" s="17" t="s">
        <v>296</v>
      </c>
      <c r="J582" s="17">
        <v>17.042226318787002</v>
      </c>
      <c r="K582" s="17">
        <v>-96.707598820168997</v>
      </c>
      <c r="L582" s="17" t="str">
        <f>HYPERLINK("https://maps.google.com/?q=17.042226318787,-96.707598820169", "🔗 Ver Mapa")</f>
        <v>🔗 Ver Mapa</v>
      </c>
    </row>
    <row r="583" spans="1:12" ht="43.5" x14ac:dyDescent="0.35">
      <c r="A583" s="5" t="s">
        <v>291</v>
      </c>
      <c r="B583" s="5" t="s">
        <v>292</v>
      </c>
      <c r="C583" s="5" t="s">
        <v>377</v>
      </c>
      <c r="D583" s="8" t="s">
        <v>294</v>
      </c>
      <c r="E583" s="16" t="s">
        <v>75</v>
      </c>
      <c r="F583" s="16" t="s">
        <v>86</v>
      </c>
      <c r="G583" s="8" t="s">
        <v>103</v>
      </c>
      <c r="H583" s="8" t="s">
        <v>125</v>
      </c>
      <c r="I583" s="16" t="s">
        <v>296</v>
      </c>
      <c r="J583" s="16">
        <v>17.042535030972999</v>
      </c>
      <c r="K583" s="16">
        <v>-96.719860096028995</v>
      </c>
      <c r="L583" s="16" t="str">
        <f>HYPERLINK("https://maps.google.com/?q=17.042535030973,-96.719860096029", "🔗 Ver Mapa")</f>
        <v>🔗 Ver Mapa</v>
      </c>
    </row>
    <row r="584" spans="1:12" ht="43.5" x14ac:dyDescent="0.35">
      <c r="A584" s="6" t="s">
        <v>291</v>
      </c>
      <c r="B584" s="6" t="s">
        <v>292</v>
      </c>
      <c r="C584" s="6" t="s">
        <v>377</v>
      </c>
      <c r="D584" s="11" t="s">
        <v>294</v>
      </c>
      <c r="E584" s="17" t="s">
        <v>75</v>
      </c>
      <c r="F584" s="17" t="s">
        <v>86</v>
      </c>
      <c r="G584" s="11" t="s">
        <v>103</v>
      </c>
      <c r="H584" s="11" t="s">
        <v>125</v>
      </c>
      <c r="I584" s="17" t="s">
        <v>296</v>
      </c>
      <c r="J584" s="17">
        <v>17.042619592529999</v>
      </c>
      <c r="K584" s="17">
        <v>-96.720178664936995</v>
      </c>
      <c r="L584" s="17" t="str">
        <f>HYPERLINK("https://maps.google.com/?q=17.04261959253,-96.720178664937", "🔗 Ver Mapa")</f>
        <v>🔗 Ver Mapa</v>
      </c>
    </row>
    <row r="585" spans="1:12" ht="43.5" x14ac:dyDescent="0.35">
      <c r="A585" s="5" t="s">
        <v>291</v>
      </c>
      <c r="B585" s="5" t="s">
        <v>292</v>
      </c>
      <c r="C585" s="5" t="s">
        <v>377</v>
      </c>
      <c r="D585" s="8" t="s">
        <v>294</v>
      </c>
      <c r="E585" s="16" t="s">
        <v>75</v>
      </c>
      <c r="F585" s="16" t="s">
        <v>86</v>
      </c>
      <c r="G585" s="8" t="s">
        <v>103</v>
      </c>
      <c r="H585" s="8" t="s">
        <v>125</v>
      </c>
      <c r="I585" s="16" t="s">
        <v>296</v>
      </c>
      <c r="J585" s="16">
        <v>17.042623705347999</v>
      </c>
      <c r="K585" s="16">
        <v>-96.720253270708994</v>
      </c>
      <c r="L585" s="16" t="str">
        <f>HYPERLINK("https://maps.google.com/?q=17.042623705348,-96.720253270709", "🔗 Ver Mapa")</f>
        <v>🔗 Ver Mapa</v>
      </c>
    </row>
    <row r="586" spans="1:12" ht="43.5" x14ac:dyDescent="0.35">
      <c r="A586" s="6" t="s">
        <v>291</v>
      </c>
      <c r="B586" s="6" t="s">
        <v>292</v>
      </c>
      <c r="C586" s="6" t="s">
        <v>377</v>
      </c>
      <c r="D586" s="11" t="s">
        <v>294</v>
      </c>
      <c r="E586" s="17" t="s">
        <v>75</v>
      </c>
      <c r="F586" s="17" t="s">
        <v>86</v>
      </c>
      <c r="G586" s="11" t="s">
        <v>103</v>
      </c>
      <c r="H586" s="11" t="s">
        <v>125</v>
      </c>
      <c r="I586" s="17" t="s">
        <v>296</v>
      </c>
      <c r="J586" s="17">
        <v>17.042690210495</v>
      </c>
      <c r="K586" s="17">
        <v>-96.707495444434002</v>
      </c>
      <c r="L586" s="17" t="str">
        <f>HYPERLINK("https://maps.google.com/?q=17.042690210495,-96.707495444434", "🔗 Ver Mapa")</f>
        <v>🔗 Ver Mapa</v>
      </c>
    </row>
    <row r="587" spans="1:12" ht="43.5" x14ac:dyDescent="0.35">
      <c r="A587" s="5" t="s">
        <v>291</v>
      </c>
      <c r="B587" s="5" t="s">
        <v>292</v>
      </c>
      <c r="C587" s="5" t="s">
        <v>377</v>
      </c>
      <c r="D587" s="8" t="s">
        <v>294</v>
      </c>
      <c r="E587" s="16" t="s">
        <v>75</v>
      </c>
      <c r="F587" s="16" t="s">
        <v>86</v>
      </c>
      <c r="G587" s="8" t="s">
        <v>103</v>
      </c>
      <c r="H587" s="8" t="s">
        <v>125</v>
      </c>
      <c r="I587" s="16" t="s">
        <v>296</v>
      </c>
      <c r="J587" s="16">
        <v>17.043091038915001</v>
      </c>
      <c r="K587" s="16">
        <v>-96.712024779833996</v>
      </c>
      <c r="L587" s="16" t="str">
        <f>HYPERLINK("https://maps.google.com/?q=17.043091038915,-96.712024779834", "🔗 Ver Mapa")</f>
        <v>🔗 Ver Mapa</v>
      </c>
    </row>
    <row r="588" spans="1:12" ht="43.5" x14ac:dyDescent="0.35">
      <c r="A588" s="6" t="s">
        <v>291</v>
      </c>
      <c r="B588" s="6" t="s">
        <v>292</v>
      </c>
      <c r="C588" s="6" t="s">
        <v>377</v>
      </c>
      <c r="D588" s="11" t="s">
        <v>294</v>
      </c>
      <c r="E588" s="17" t="s">
        <v>75</v>
      </c>
      <c r="F588" s="17" t="s">
        <v>86</v>
      </c>
      <c r="G588" s="11" t="s">
        <v>103</v>
      </c>
      <c r="H588" s="11" t="s">
        <v>125</v>
      </c>
      <c r="I588" s="17" t="s">
        <v>296</v>
      </c>
      <c r="J588" s="17">
        <v>17.043341576869999</v>
      </c>
      <c r="K588" s="17">
        <v>-96.718711156246002</v>
      </c>
      <c r="L588" s="17" t="str">
        <f>HYPERLINK("https://maps.google.com/?q=17.04334157687,-96.718711156246", "🔗 Ver Mapa")</f>
        <v>🔗 Ver Mapa</v>
      </c>
    </row>
    <row r="589" spans="1:12" ht="43.5" x14ac:dyDescent="0.35">
      <c r="A589" s="5" t="s">
        <v>291</v>
      </c>
      <c r="B589" s="5" t="s">
        <v>292</v>
      </c>
      <c r="C589" s="5" t="s">
        <v>377</v>
      </c>
      <c r="D589" s="8" t="s">
        <v>294</v>
      </c>
      <c r="E589" s="16" t="s">
        <v>75</v>
      </c>
      <c r="F589" s="16" t="s">
        <v>86</v>
      </c>
      <c r="G589" s="8" t="s">
        <v>103</v>
      </c>
      <c r="H589" s="8" t="s">
        <v>125</v>
      </c>
      <c r="I589" s="16" t="s">
        <v>296</v>
      </c>
      <c r="J589" s="16">
        <v>17.043501855915</v>
      </c>
      <c r="K589" s="16">
        <v>-96.711943420885007</v>
      </c>
      <c r="L589" s="16" t="str">
        <f>HYPERLINK("https://maps.google.com/?q=17.043501855915,-96.711943420885", "🔗 Ver Mapa")</f>
        <v>🔗 Ver Mapa</v>
      </c>
    </row>
    <row r="590" spans="1:12" ht="43.5" x14ac:dyDescent="0.35">
      <c r="A590" s="6" t="s">
        <v>291</v>
      </c>
      <c r="B590" s="6" t="s">
        <v>292</v>
      </c>
      <c r="C590" s="6" t="s">
        <v>377</v>
      </c>
      <c r="D590" s="11" t="s">
        <v>294</v>
      </c>
      <c r="E590" s="17" t="s">
        <v>75</v>
      </c>
      <c r="F590" s="17" t="s">
        <v>86</v>
      </c>
      <c r="G590" s="11" t="s">
        <v>103</v>
      </c>
      <c r="H590" s="11" t="s">
        <v>125</v>
      </c>
      <c r="I590" s="17" t="s">
        <v>296</v>
      </c>
      <c r="J590" s="17">
        <v>17.04351111231</v>
      </c>
      <c r="K590" s="17">
        <v>-96.719471809609004</v>
      </c>
      <c r="L590" s="17" t="str">
        <f>HYPERLINK("https://maps.google.com/?q=17.04351111231,-96.719471809609", "🔗 Ver Mapa")</f>
        <v>🔗 Ver Mapa</v>
      </c>
    </row>
    <row r="591" spans="1:12" ht="43.5" x14ac:dyDescent="0.35">
      <c r="A591" s="5" t="s">
        <v>291</v>
      </c>
      <c r="B591" s="5" t="s">
        <v>292</v>
      </c>
      <c r="C591" s="5" t="s">
        <v>377</v>
      </c>
      <c r="D591" s="8" t="s">
        <v>294</v>
      </c>
      <c r="E591" s="16" t="s">
        <v>75</v>
      </c>
      <c r="F591" s="16" t="s">
        <v>86</v>
      </c>
      <c r="G591" s="8" t="s">
        <v>103</v>
      </c>
      <c r="H591" s="8" t="s">
        <v>125</v>
      </c>
      <c r="I591" s="16" t="s">
        <v>296</v>
      </c>
      <c r="J591" s="16">
        <v>17.043531164764001</v>
      </c>
      <c r="K591" s="16">
        <v>-96.720873065831</v>
      </c>
      <c r="L591" s="16" t="str">
        <f>HYPERLINK("https://maps.google.com/?q=17.043531164764,-96.720873065831", "🔗 Ver Mapa")</f>
        <v>🔗 Ver Mapa</v>
      </c>
    </row>
    <row r="592" spans="1:12" ht="43.5" x14ac:dyDescent="0.35">
      <c r="A592" s="6" t="s">
        <v>291</v>
      </c>
      <c r="B592" s="6" t="s">
        <v>292</v>
      </c>
      <c r="C592" s="6" t="s">
        <v>377</v>
      </c>
      <c r="D592" s="11" t="s">
        <v>294</v>
      </c>
      <c r="E592" s="17" t="s">
        <v>75</v>
      </c>
      <c r="F592" s="17" t="s">
        <v>86</v>
      </c>
      <c r="G592" s="11" t="s">
        <v>103</v>
      </c>
      <c r="H592" s="11" t="s">
        <v>125</v>
      </c>
      <c r="I592" s="17" t="s">
        <v>296</v>
      </c>
      <c r="J592" s="17">
        <v>17.04363197324</v>
      </c>
      <c r="K592" s="17">
        <v>-96.714801543042995</v>
      </c>
      <c r="L592" s="17" t="str">
        <f>HYPERLINK("https://maps.google.com/?q=17.04363197324,-96.714801543043", "🔗 Ver Mapa")</f>
        <v>🔗 Ver Mapa</v>
      </c>
    </row>
    <row r="593" spans="1:12" ht="43.5" x14ac:dyDescent="0.35">
      <c r="A593" s="5" t="s">
        <v>291</v>
      </c>
      <c r="B593" s="5" t="s">
        <v>292</v>
      </c>
      <c r="C593" s="5" t="s">
        <v>377</v>
      </c>
      <c r="D593" s="8" t="s">
        <v>294</v>
      </c>
      <c r="E593" s="16" t="s">
        <v>75</v>
      </c>
      <c r="F593" s="16" t="s">
        <v>86</v>
      </c>
      <c r="G593" s="8" t="s">
        <v>103</v>
      </c>
      <c r="H593" s="8" t="s">
        <v>125</v>
      </c>
      <c r="I593" s="16" t="s">
        <v>296</v>
      </c>
      <c r="J593" s="16">
        <v>17.043901578676</v>
      </c>
      <c r="K593" s="16">
        <v>-96.720827401804002</v>
      </c>
      <c r="L593" s="16" t="str">
        <f>HYPERLINK("https://maps.google.com/?q=17.043901578676,-96.720827401804", "🔗 Ver Mapa")</f>
        <v>🔗 Ver Mapa</v>
      </c>
    </row>
    <row r="594" spans="1:12" ht="43.5" x14ac:dyDescent="0.35">
      <c r="A594" s="6" t="s">
        <v>291</v>
      </c>
      <c r="B594" s="6" t="s">
        <v>292</v>
      </c>
      <c r="C594" s="6" t="s">
        <v>377</v>
      </c>
      <c r="D594" s="11" t="s">
        <v>294</v>
      </c>
      <c r="E594" s="17" t="s">
        <v>75</v>
      </c>
      <c r="F594" s="17" t="s">
        <v>86</v>
      </c>
      <c r="G594" s="11" t="s">
        <v>103</v>
      </c>
      <c r="H594" s="11" t="s">
        <v>125</v>
      </c>
      <c r="I594" s="17" t="s">
        <v>296</v>
      </c>
      <c r="J594" s="17">
        <v>17.043931667168</v>
      </c>
      <c r="K594" s="17">
        <v>-96.718802439509005</v>
      </c>
      <c r="L594" s="17" t="str">
        <f>HYPERLINK("https://maps.google.com/?q=17.043931667168,-96.718802439509", "🔗 Ver Mapa")</f>
        <v>🔗 Ver Mapa</v>
      </c>
    </row>
    <row r="595" spans="1:12" ht="43.5" x14ac:dyDescent="0.35">
      <c r="A595" s="5" t="s">
        <v>291</v>
      </c>
      <c r="B595" s="5" t="s">
        <v>292</v>
      </c>
      <c r="C595" s="5" t="s">
        <v>377</v>
      </c>
      <c r="D595" s="8" t="s">
        <v>294</v>
      </c>
      <c r="E595" s="16" t="s">
        <v>75</v>
      </c>
      <c r="F595" s="16" t="s">
        <v>86</v>
      </c>
      <c r="G595" s="8" t="s">
        <v>103</v>
      </c>
      <c r="H595" s="8" t="s">
        <v>125</v>
      </c>
      <c r="I595" s="16" t="s">
        <v>296</v>
      </c>
      <c r="J595" s="16">
        <v>17.044015959955999</v>
      </c>
      <c r="K595" s="16">
        <v>-96.711907698817996</v>
      </c>
      <c r="L595" s="16" t="str">
        <f>HYPERLINK("https://maps.google.com/?q=17.044015959956,-96.711907698818", "🔗 Ver Mapa")</f>
        <v>🔗 Ver Mapa</v>
      </c>
    </row>
    <row r="596" spans="1:12" ht="43.5" x14ac:dyDescent="0.35">
      <c r="A596" s="6" t="s">
        <v>291</v>
      </c>
      <c r="B596" s="6" t="s">
        <v>292</v>
      </c>
      <c r="C596" s="6" t="s">
        <v>377</v>
      </c>
      <c r="D596" s="11" t="s">
        <v>294</v>
      </c>
      <c r="E596" s="17" t="s">
        <v>75</v>
      </c>
      <c r="F596" s="17" t="s">
        <v>86</v>
      </c>
      <c r="G596" s="11" t="s">
        <v>103</v>
      </c>
      <c r="H596" s="11" t="s">
        <v>125</v>
      </c>
      <c r="I596" s="17" t="s">
        <v>296</v>
      </c>
      <c r="J596" s="17">
        <v>17.044035888526999</v>
      </c>
      <c r="K596" s="17">
        <v>-96.719194606477004</v>
      </c>
      <c r="L596" s="17" t="str">
        <f>HYPERLINK("https://maps.google.com/?q=17.044035888527,-96.719194606477", "🔗 Ver Mapa")</f>
        <v>🔗 Ver Mapa</v>
      </c>
    </row>
    <row r="597" spans="1:12" ht="43.5" x14ac:dyDescent="0.35">
      <c r="A597" s="5" t="s">
        <v>291</v>
      </c>
      <c r="B597" s="5" t="s">
        <v>292</v>
      </c>
      <c r="C597" s="5" t="s">
        <v>377</v>
      </c>
      <c r="D597" s="8" t="s">
        <v>294</v>
      </c>
      <c r="E597" s="16" t="s">
        <v>75</v>
      </c>
      <c r="F597" s="16" t="s">
        <v>86</v>
      </c>
      <c r="G597" s="8" t="s">
        <v>103</v>
      </c>
      <c r="H597" s="8" t="s">
        <v>125</v>
      </c>
      <c r="I597" s="16" t="s">
        <v>296</v>
      </c>
      <c r="J597" s="16">
        <v>17.044230430106001</v>
      </c>
      <c r="K597" s="16">
        <v>-96.711220215287995</v>
      </c>
      <c r="L597" s="16" t="str">
        <f>HYPERLINK("https://maps.google.com/?q=17.044230430106,-96.711220215288", "🔗 Ver Mapa")</f>
        <v>🔗 Ver Mapa</v>
      </c>
    </row>
    <row r="598" spans="1:12" ht="43.5" x14ac:dyDescent="0.35">
      <c r="A598" s="6" t="s">
        <v>291</v>
      </c>
      <c r="B598" s="6" t="s">
        <v>292</v>
      </c>
      <c r="C598" s="6" t="s">
        <v>377</v>
      </c>
      <c r="D598" s="11" t="s">
        <v>294</v>
      </c>
      <c r="E598" s="17" t="s">
        <v>75</v>
      </c>
      <c r="F598" s="17" t="s">
        <v>86</v>
      </c>
      <c r="G598" s="11" t="s">
        <v>103</v>
      </c>
      <c r="H598" s="11" t="s">
        <v>125</v>
      </c>
      <c r="I598" s="17" t="s">
        <v>296</v>
      </c>
      <c r="J598" s="17">
        <v>17.044369172248999</v>
      </c>
      <c r="K598" s="17">
        <v>-96.711845603564996</v>
      </c>
      <c r="L598" s="17" t="str">
        <f>HYPERLINK("https://maps.google.com/?q=17.044369172249,-96.711845603565", "🔗 Ver Mapa")</f>
        <v>🔗 Ver Mapa</v>
      </c>
    </row>
    <row r="599" spans="1:12" ht="43.5" x14ac:dyDescent="0.35">
      <c r="A599" s="5" t="s">
        <v>291</v>
      </c>
      <c r="B599" s="5" t="s">
        <v>292</v>
      </c>
      <c r="C599" s="5" t="s">
        <v>377</v>
      </c>
      <c r="D599" s="8" t="s">
        <v>294</v>
      </c>
      <c r="E599" s="16" t="s">
        <v>75</v>
      </c>
      <c r="F599" s="16" t="s">
        <v>86</v>
      </c>
      <c r="G599" s="8" t="s">
        <v>103</v>
      </c>
      <c r="H599" s="8" t="s">
        <v>125</v>
      </c>
      <c r="I599" s="16" t="s">
        <v>296</v>
      </c>
      <c r="J599" s="16">
        <v>17.044768951630999</v>
      </c>
      <c r="K599" s="16">
        <v>-96.711765016681994</v>
      </c>
      <c r="L599" s="16" t="str">
        <f>HYPERLINK("https://maps.google.com/?q=17.044768951631,-96.711765016682", "🔗 Ver Mapa")</f>
        <v>🔗 Ver Mapa</v>
      </c>
    </row>
    <row r="600" spans="1:12" ht="43.5" x14ac:dyDescent="0.35">
      <c r="A600" s="6" t="s">
        <v>291</v>
      </c>
      <c r="B600" s="6" t="s">
        <v>292</v>
      </c>
      <c r="C600" s="6" t="s">
        <v>377</v>
      </c>
      <c r="D600" s="11" t="s">
        <v>294</v>
      </c>
      <c r="E600" s="17" t="s">
        <v>75</v>
      </c>
      <c r="F600" s="17" t="s">
        <v>86</v>
      </c>
      <c r="G600" s="11" t="s">
        <v>103</v>
      </c>
      <c r="H600" s="11" t="s">
        <v>125</v>
      </c>
      <c r="I600" s="17" t="s">
        <v>296</v>
      </c>
      <c r="J600" s="17">
        <v>17.044848770640002</v>
      </c>
      <c r="K600" s="17">
        <v>-96.718662772745006</v>
      </c>
      <c r="L600" s="17" t="str">
        <f>HYPERLINK("https://maps.google.com/?q=17.04484877064,-96.718662772745", "🔗 Ver Mapa")</f>
        <v>🔗 Ver Mapa</v>
      </c>
    </row>
    <row r="601" spans="1:12" ht="43.5" x14ac:dyDescent="0.35">
      <c r="A601" s="5" t="s">
        <v>291</v>
      </c>
      <c r="B601" s="5" t="s">
        <v>292</v>
      </c>
      <c r="C601" s="5" t="s">
        <v>377</v>
      </c>
      <c r="D601" s="8" t="s">
        <v>294</v>
      </c>
      <c r="E601" s="16" t="s">
        <v>75</v>
      </c>
      <c r="F601" s="16" t="s">
        <v>86</v>
      </c>
      <c r="G601" s="8" t="s">
        <v>103</v>
      </c>
      <c r="H601" s="8" t="s">
        <v>125</v>
      </c>
      <c r="I601" s="16" t="s">
        <v>296</v>
      </c>
      <c r="J601" s="16">
        <v>17.044889307845999</v>
      </c>
      <c r="K601" s="16">
        <v>-96.718689447678997</v>
      </c>
      <c r="L601" s="16" t="str">
        <f>HYPERLINK("https://maps.google.com/?q=17.044889307846,-96.718689447679", "🔗 Ver Mapa")</f>
        <v>🔗 Ver Mapa</v>
      </c>
    </row>
    <row r="602" spans="1:12" ht="43.5" x14ac:dyDescent="0.35">
      <c r="A602" s="6" t="s">
        <v>291</v>
      </c>
      <c r="B602" s="6" t="s">
        <v>292</v>
      </c>
      <c r="C602" s="6" t="s">
        <v>377</v>
      </c>
      <c r="D602" s="11" t="s">
        <v>294</v>
      </c>
      <c r="E602" s="17" t="s">
        <v>75</v>
      </c>
      <c r="F602" s="17" t="s">
        <v>86</v>
      </c>
      <c r="G602" s="11" t="s">
        <v>103</v>
      </c>
      <c r="H602" s="11" t="s">
        <v>125</v>
      </c>
      <c r="I602" s="17" t="s">
        <v>296</v>
      </c>
      <c r="J602" s="17">
        <v>17.045084695980002</v>
      </c>
      <c r="K602" s="17">
        <v>-96.721701510250995</v>
      </c>
      <c r="L602" s="17" t="str">
        <f>HYPERLINK("https://maps.google.com/?q=17.04508469598,-96.721701510251", "🔗 Ver Mapa")</f>
        <v>🔗 Ver Mapa</v>
      </c>
    </row>
    <row r="603" spans="1:12" ht="43.5" x14ac:dyDescent="0.35">
      <c r="A603" s="5" t="s">
        <v>291</v>
      </c>
      <c r="B603" s="5" t="s">
        <v>292</v>
      </c>
      <c r="C603" s="5" t="s">
        <v>377</v>
      </c>
      <c r="D603" s="8" t="s">
        <v>294</v>
      </c>
      <c r="E603" s="16" t="s">
        <v>75</v>
      </c>
      <c r="F603" s="16" t="s">
        <v>86</v>
      </c>
      <c r="G603" s="8" t="s">
        <v>103</v>
      </c>
      <c r="H603" s="8" t="s">
        <v>125</v>
      </c>
      <c r="I603" s="16" t="s">
        <v>296</v>
      </c>
      <c r="J603" s="16">
        <v>17.045163764683</v>
      </c>
      <c r="K603" s="16">
        <v>-96.722045483713998</v>
      </c>
      <c r="L603" s="16" t="str">
        <f>HYPERLINK("https://maps.google.com/?q=17.045163764683,-96.722045483714", "🔗 Ver Mapa")</f>
        <v>🔗 Ver Mapa</v>
      </c>
    </row>
    <row r="604" spans="1:12" ht="43.5" x14ac:dyDescent="0.35">
      <c r="A604" s="6" t="s">
        <v>291</v>
      </c>
      <c r="B604" s="6" t="s">
        <v>292</v>
      </c>
      <c r="C604" s="6" t="s">
        <v>377</v>
      </c>
      <c r="D604" s="11" t="s">
        <v>294</v>
      </c>
      <c r="E604" s="17" t="s">
        <v>75</v>
      </c>
      <c r="F604" s="17" t="s">
        <v>86</v>
      </c>
      <c r="G604" s="11" t="s">
        <v>103</v>
      </c>
      <c r="H604" s="11" t="s">
        <v>125</v>
      </c>
      <c r="I604" s="17" t="s">
        <v>296</v>
      </c>
      <c r="J604" s="17">
        <v>17.045579804626001</v>
      </c>
      <c r="K604" s="17">
        <v>-96.722416197922001</v>
      </c>
      <c r="L604" s="17" t="str">
        <f>HYPERLINK("https://maps.google.com/?q=17.045579804626,-96.722416197922", "🔗 Ver Mapa")</f>
        <v>🔗 Ver Mapa</v>
      </c>
    </row>
    <row r="605" spans="1:12" ht="43.5" x14ac:dyDescent="0.35">
      <c r="A605" s="5" t="s">
        <v>291</v>
      </c>
      <c r="B605" s="5" t="s">
        <v>292</v>
      </c>
      <c r="C605" s="5" t="s">
        <v>377</v>
      </c>
      <c r="D605" s="8" t="s">
        <v>294</v>
      </c>
      <c r="E605" s="16" t="s">
        <v>75</v>
      </c>
      <c r="F605" s="16" t="s">
        <v>86</v>
      </c>
      <c r="G605" s="8" t="s">
        <v>103</v>
      </c>
      <c r="H605" s="8" t="s">
        <v>125</v>
      </c>
      <c r="I605" s="16" t="s">
        <v>296</v>
      </c>
      <c r="J605" s="16">
        <v>17.045600542239999</v>
      </c>
      <c r="K605" s="16">
        <v>-96.716984105722005</v>
      </c>
      <c r="L605" s="16" t="str">
        <f>HYPERLINK("https://maps.google.com/?q=17.04560054224,-96.716984105722", "🔗 Ver Mapa")</f>
        <v>🔗 Ver Mapa</v>
      </c>
    </row>
    <row r="606" spans="1:12" ht="43.5" x14ac:dyDescent="0.35">
      <c r="A606" s="6" t="s">
        <v>291</v>
      </c>
      <c r="B606" s="6" t="s">
        <v>292</v>
      </c>
      <c r="C606" s="6" t="s">
        <v>377</v>
      </c>
      <c r="D606" s="11" t="s">
        <v>294</v>
      </c>
      <c r="E606" s="17" t="s">
        <v>75</v>
      </c>
      <c r="F606" s="17" t="s">
        <v>86</v>
      </c>
      <c r="G606" s="11" t="s">
        <v>103</v>
      </c>
      <c r="H606" s="11" t="s">
        <v>125</v>
      </c>
      <c r="I606" s="17" t="s">
        <v>296</v>
      </c>
      <c r="J606" s="17">
        <v>17.045647596375002</v>
      </c>
      <c r="K606" s="17">
        <v>-96.720551563621996</v>
      </c>
      <c r="L606" s="17" t="str">
        <f>HYPERLINK("https://maps.google.com/?q=17.045647596375,-96.720551563622", "🔗 Ver Mapa")</f>
        <v>🔗 Ver Mapa</v>
      </c>
    </row>
    <row r="607" spans="1:12" ht="43.5" x14ac:dyDescent="0.35">
      <c r="A607" s="5" t="s">
        <v>291</v>
      </c>
      <c r="B607" s="5" t="s">
        <v>292</v>
      </c>
      <c r="C607" s="5" t="s">
        <v>377</v>
      </c>
      <c r="D607" s="8" t="s">
        <v>294</v>
      </c>
      <c r="E607" s="16" t="s">
        <v>75</v>
      </c>
      <c r="F607" s="16" t="s">
        <v>86</v>
      </c>
      <c r="G607" s="8" t="s">
        <v>103</v>
      </c>
      <c r="H607" s="8" t="s">
        <v>125</v>
      </c>
      <c r="I607" s="16" t="s">
        <v>296</v>
      </c>
      <c r="J607" s="16">
        <v>17.045885894613999</v>
      </c>
      <c r="K607" s="16">
        <v>-96.717139313931</v>
      </c>
      <c r="L607" s="16" t="str">
        <f>HYPERLINK("https://maps.google.com/?q=17.045885894614,-96.717139313931", "🔗 Ver Mapa")</f>
        <v>🔗 Ver Mapa</v>
      </c>
    </row>
    <row r="608" spans="1:12" ht="43.5" x14ac:dyDescent="0.35">
      <c r="A608" s="6" t="s">
        <v>291</v>
      </c>
      <c r="B608" s="6" t="s">
        <v>292</v>
      </c>
      <c r="C608" s="6" t="s">
        <v>377</v>
      </c>
      <c r="D608" s="11" t="s">
        <v>294</v>
      </c>
      <c r="E608" s="17" t="s">
        <v>75</v>
      </c>
      <c r="F608" s="17" t="s">
        <v>86</v>
      </c>
      <c r="G608" s="11" t="s">
        <v>103</v>
      </c>
      <c r="H608" s="11" t="s">
        <v>125</v>
      </c>
      <c r="I608" s="17" t="s">
        <v>296</v>
      </c>
      <c r="J608" s="17">
        <v>17.045938827219</v>
      </c>
      <c r="K608" s="17">
        <v>-96.717191548624001</v>
      </c>
      <c r="L608" s="17" t="str">
        <f>HYPERLINK("https://maps.google.com/?q=17.045938827219,-96.717191548624", "🔗 Ver Mapa")</f>
        <v>🔗 Ver Mapa</v>
      </c>
    </row>
    <row r="609" spans="1:12" ht="43.5" x14ac:dyDescent="0.35">
      <c r="A609" s="5" t="s">
        <v>291</v>
      </c>
      <c r="B609" s="5" t="s">
        <v>292</v>
      </c>
      <c r="C609" s="5" t="s">
        <v>377</v>
      </c>
      <c r="D609" s="8" t="s">
        <v>294</v>
      </c>
      <c r="E609" s="16" t="s">
        <v>75</v>
      </c>
      <c r="F609" s="16" t="s">
        <v>86</v>
      </c>
      <c r="G609" s="8" t="s">
        <v>103</v>
      </c>
      <c r="H609" s="8" t="s">
        <v>125</v>
      </c>
      <c r="I609" s="16" t="s">
        <v>296</v>
      </c>
      <c r="J609" s="16">
        <v>17.045984622993998</v>
      </c>
      <c r="K609" s="16">
        <v>-96.722676320694006</v>
      </c>
      <c r="L609" s="16" t="str">
        <f>HYPERLINK("https://maps.google.com/?q=17.045984622994,-96.722676320694", "🔗 Ver Mapa")</f>
        <v>🔗 Ver Mapa</v>
      </c>
    </row>
    <row r="610" spans="1:12" ht="43.5" x14ac:dyDescent="0.35">
      <c r="A610" s="6" t="s">
        <v>291</v>
      </c>
      <c r="B610" s="6" t="s">
        <v>292</v>
      </c>
      <c r="C610" s="6" t="s">
        <v>377</v>
      </c>
      <c r="D610" s="11" t="s">
        <v>294</v>
      </c>
      <c r="E610" s="17" t="s">
        <v>75</v>
      </c>
      <c r="F610" s="17" t="s">
        <v>86</v>
      </c>
      <c r="G610" s="11" t="s">
        <v>103</v>
      </c>
      <c r="H610" s="11" t="s">
        <v>125</v>
      </c>
      <c r="I610" s="17" t="s">
        <v>296</v>
      </c>
      <c r="J610" s="17">
        <v>17.046037985967001</v>
      </c>
      <c r="K610" s="17">
        <v>-96.722679127709</v>
      </c>
      <c r="L610" s="17" t="str">
        <f>HYPERLINK("https://maps.google.com/?q=17.046037985967,-96.722679127709", "🔗 Ver Mapa")</f>
        <v>🔗 Ver Mapa</v>
      </c>
    </row>
    <row r="611" spans="1:12" ht="43.5" x14ac:dyDescent="0.35">
      <c r="A611" s="5" t="s">
        <v>291</v>
      </c>
      <c r="B611" s="5" t="s">
        <v>292</v>
      </c>
      <c r="C611" s="5" t="s">
        <v>377</v>
      </c>
      <c r="D611" s="8" t="s">
        <v>294</v>
      </c>
      <c r="E611" s="16" t="s">
        <v>75</v>
      </c>
      <c r="F611" s="16" t="s">
        <v>86</v>
      </c>
      <c r="G611" s="8" t="s">
        <v>103</v>
      </c>
      <c r="H611" s="8" t="s">
        <v>125</v>
      </c>
      <c r="I611" s="16" t="s">
        <v>296</v>
      </c>
      <c r="J611" s="16">
        <v>17.046080055729998</v>
      </c>
      <c r="K611" s="16">
        <v>-96.718584041593004</v>
      </c>
      <c r="L611" s="16" t="str">
        <f>HYPERLINK("https://maps.google.com/?q=17.04608005573,-96.718584041593", "🔗 Ver Mapa")</f>
        <v>🔗 Ver Mapa</v>
      </c>
    </row>
    <row r="612" spans="1:12" ht="43.5" x14ac:dyDescent="0.35">
      <c r="A612" s="6" t="s">
        <v>291</v>
      </c>
      <c r="B612" s="6" t="s">
        <v>292</v>
      </c>
      <c r="C612" s="6" t="s">
        <v>377</v>
      </c>
      <c r="D612" s="11" t="s">
        <v>294</v>
      </c>
      <c r="E612" s="17" t="s">
        <v>75</v>
      </c>
      <c r="F612" s="17" t="s">
        <v>86</v>
      </c>
      <c r="G612" s="11" t="s">
        <v>103</v>
      </c>
      <c r="H612" s="11" t="s">
        <v>125</v>
      </c>
      <c r="I612" s="17" t="s">
        <v>296</v>
      </c>
      <c r="J612" s="17">
        <v>17.046085805522001</v>
      </c>
      <c r="K612" s="17">
        <v>-96.718096794128002</v>
      </c>
      <c r="L612" s="17" t="str">
        <f>HYPERLINK("https://maps.google.com/?q=17.046085805522,-96.718096794128", "🔗 Ver Mapa")</f>
        <v>🔗 Ver Mapa</v>
      </c>
    </row>
    <row r="613" spans="1:12" ht="43.5" x14ac:dyDescent="0.35">
      <c r="A613" s="5" t="s">
        <v>291</v>
      </c>
      <c r="B613" s="5" t="s">
        <v>292</v>
      </c>
      <c r="C613" s="5" t="s">
        <v>377</v>
      </c>
      <c r="D613" s="8" t="s">
        <v>294</v>
      </c>
      <c r="E613" s="16" t="s">
        <v>75</v>
      </c>
      <c r="F613" s="16" t="s">
        <v>86</v>
      </c>
      <c r="G613" s="8" t="s">
        <v>103</v>
      </c>
      <c r="H613" s="8" t="s">
        <v>125</v>
      </c>
      <c r="I613" s="16" t="s">
        <v>296</v>
      </c>
      <c r="J613" s="16">
        <v>17.046098337406999</v>
      </c>
      <c r="K613" s="16">
        <v>-96.718580876971004</v>
      </c>
      <c r="L613" s="16" t="str">
        <f>HYPERLINK("https://maps.google.com/?q=17.046098337407,-96.718580876971", "🔗 Ver Mapa")</f>
        <v>🔗 Ver Mapa</v>
      </c>
    </row>
    <row r="614" spans="1:12" ht="43.5" x14ac:dyDescent="0.35">
      <c r="A614" s="6" t="s">
        <v>291</v>
      </c>
      <c r="B614" s="6" t="s">
        <v>292</v>
      </c>
      <c r="C614" s="6" t="s">
        <v>377</v>
      </c>
      <c r="D614" s="11" t="s">
        <v>294</v>
      </c>
      <c r="E614" s="17" t="s">
        <v>75</v>
      </c>
      <c r="F614" s="17" t="s">
        <v>86</v>
      </c>
      <c r="G614" s="11" t="s">
        <v>103</v>
      </c>
      <c r="H614" s="11" t="s">
        <v>125</v>
      </c>
      <c r="I614" s="17" t="s">
        <v>296</v>
      </c>
      <c r="J614" s="17">
        <v>17.046191886060001</v>
      </c>
      <c r="K614" s="17">
        <v>-96.718122730320999</v>
      </c>
      <c r="L614" s="17" t="str">
        <f>HYPERLINK("https://maps.google.com/?q=17.04619188606,-96.718122730321", "🔗 Ver Mapa")</f>
        <v>🔗 Ver Mapa</v>
      </c>
    </row>
    <row r="615" spans="1:12" ht="43.5" x14ac:dyDescent="0.35">
      <c r="A615" s="5" t="s">
        <v>291</v>
      </c>
      <c r="B615" s="5" t="s">
        <v>292</v>
      </c>
      <c r="C615" s="5" t="s">
        <v>377</v>
      </c>
      <c r="D615" s="8" t="s">
        <v>294</v>
      </c>
      <c r="E615" s="16" t="s">
        <v>75</v>
      </c>
      <c r="F615" s="16" t="s">
        <v>86</v>
      </c>
      <c r="G615" s="8" t="s">
        <v>103</v>
      </c>
      <c r="H615" s="8" t="s">
        <v>125</v>
      </c>
      <c r="I615" s="16" t="s">
        <v>296</v>
      </c>
      <c r="J615" s="16">
        <v>17.046283225675001</v>
      </c>
      <c r="K615" s="16">
        <v>-96.723106952964997</v>
      </c>
      <c r="L615" s="16" t="str">
        <f>HYPERLINK("https://maps.google.com/?q=17.046283225675,-96.723106952965", "🔗 Ver Mapa")</f>
        <v>🔗 Ver Mapa</v>
      </c>
    </row>
    <row r="616" spans="1:12" ht="43.5" x14ac:dyDescent="0.35">
      <c r="A616" s="6" t="s">
        <v>291</v>
      </c>
      <c r="B616" s="6" t="s">
        <v>292</v>
      </c>
      <c r="C616" s="6" t="s">
        <v>377</v>
      </c>
      <c r="D616" s="11" t="s">
        <v>294</v>
      </c>
      <c r="E616" s="17" t="s">
        <v>75</v>
      </c>
      <c r="F616" s="17" t="s">
        <v>86</v>
      </c>
      <c r="G616" s="11" t="s">
        <v>103</v>
      </c>
      <c r="H616" s="11" t="s">
        <v>125</v>
      </c>
      <c r="I616" s="17" t="s">
        <v>296</v>
      </c>
      <c r="J616" s="17">
        <v>17.046317353801001</v>
      </c>
      <c r="K616" s="17">
        <v>-96.720396235636002</v>
      </c>
      <c r="L616" s="17" t="str">
        <f>HYPERLINK("https://maps.google.com/?q=17.046317353801,-96.720396235636", "🔗 Ver Mapa")</f>
        <v>🔗 Ver Mapa</v>
      </c>
    </row>
    <row r="617" spans="1:12" ht="43.5" x14ac:dyDescent="0.35">
      <c r="A617" s="5" t="s">
        <v>291</v>
      </c>
      <c r="B617" s="5" t="s">
        <v>292</v>
      </c>
      <c r="C617" s="5" t="s">
        <v>377</v>
      </c>
      <c r="D617" s="8" t="s">
        <v>294</v>
      </c>
      <c r="E617" s="16" t="s">
        <v>75</v>
      </c>
      <c r="F617" s="16" t="s">
        <v>86</v>
      </c>
      <c r="G617" s="8" t="s">
        <v>103</v>
      </c>
      <c r="H617" s="8" t="s">
        <v>125</v>
      </c>
      <c r="I617" s="16" t="s">
        <v>296</v>
      </c>
      <c r="J617" s="16">
        <v>17.046458203848999</v>
      </c>
      <c r="K617" s="16">
        <v>-96.721543019530998</v>
      </c>
      <c r="L617" s="16" t="str">
        <f>HYPERLINK("https://maps.google.com/?q=17.046458203849,-96.721543019531", "🔗 Ver Mapa")</f>
        <v>🔗 Ver Mapa</v>
      </c>
    </row>
    <row r="618" spans="1:12" ht="43.5" x14ac:dyDescent="0.35">
      <c r="A618" s="6" t="s">
        <v>291</v>
      </c>
      <c r="B618" s="6" t="s">
        <v>292</v>
      </c>
      <c r="C618" s="6" t="s">
        <v>377</v>
      </c>
      <c r="D618" s="11" t="s">
        <v>294</v>
      </c>
      <c r="E618" s="17" t="s">
        <v>75</v>
      </c>
      <c r="F618" s="17" t="s">
        <v>86</v>
      </c>
      <c r="G618" s="11" t="s">
        <v>103</v>
      </c>
      <c r="H618" s="11" t="s">
        <v>125</v>
      </c>
      <c r="I618" s="17" t="s">
        <v>296</v>
      </c>
      <c r="J618" s="17">
        <v>17.046502642278</v>
      </c>
      <c r="K618" s="17">
        <v>-96.718062573411004</v>
      </c>
      <c r="L618" s="17" t="str">
        <f>HYPERLINK("https://maps.google.com/?q=17.046502642278,-96.718062573411", "🔗 Ver Mapa")</f>
        <v>🔗 Ver Mapa</v>
      </c>
    </row>
    <row r="619" spans="1:12" ht="43.5" x14ac:dyDescent="0.35">
      <c r="A619" s="5" t="s">
        <v>291</v>
      </c>
      <c r="B619" s="5" t="s">
        <v>292</v>
      </c>
      <c r="C619" s="5" t="s">
        <v>377</v>
      </c>
      <c r="D619" s="8" t="s">
        <v>294</v>
      </c>
      <c r="E619" s="16" t="s">
        <v>75</v>
      </c>
      <c r="F619" s="16" t="s">
        <v>86</v>
      </c>
      <c r="G619" s="8" t="s">
        <v>103</v>
      </c>
      <c r="H619" s="8" t="s">
        <v>125</v>
      </c>
      <c r="I619" s="16" t="s">
        <v>296</v>
      </c>
      <c r="J619" s="16">
        <v>17.046576414596998</v>
      </c>
      <c r="K619" s="16">
        <v>-96.722325723343999</v>
      </c>
      <c r="L619" s="16" t="str">
        <f>HYPERLINK("https://maps.google.com/?q=17.046576414597,-96.722325723344", "🔗 Ver Mapa")</f>
        <v>🔗 Ver Mapa</v>
      </c>
    </row>
    <row r="620" spans="1:12" ht="43.5" x14ac:dyDescent="0.35">
      <c r="A620" s="6" t="s">
        <v>291</v>
      </c>
      <c r="B620" s="6" t="s">
        <v>292</v>
      </c>
      <c r="C620" s="6" t="s">
        <v>377</v>
      </c>
      <c r="D620" s="11" t="s">
        <v>294</v>
      </c>
      <c r="E620" s="17" t="s">
        <v>75</v>
      </c>
      <c r="F620" s="17" t="s">
        <v>86</v>
      </c>
      <c r="G620" s="11" t="s">
        <v>103</v>
      </c>
      <c r="H620" s="11" t="s">
        <v>125</v>
      </c>
      <c r="I620" s="17" t="s">
        <v>296</v>
      </c>
      <c r="J620" s="17">
        <v>17.046636618861999</v>
      </c>
      <c r="K620" s="17">
        <v>-96.722879359355005</v>
      </c>
      <c r="L620" s="17" t="str">
        <f>HYPERLINK("https://maps.google.com/?q=17.046636618862,-96.722879359355", "🔗 Ver Mapa")</f>
        <v>🔗 Ver Mapa</v>
      </c>
    </row>
    <row r="621" spans="1:12" ht="43.5" x14ac:dyDescent="0.35">
      <c r="A621" s="5" t="s">
        <v>291</v>
      </c>
      <c r="B621" s="5" t="s">
        <v>292</v>
      </c>
      <c r="C621" s="5" t="s">
        <v>377</v>
      </c>
      <c r="D621" s="8" t="s">
        <v>294</v>
      </c>
      <c r="E621" s="16" t="s">
        <v>75</v>
      </c>
      <c r="F621" s="16" t="s">
        <v>86</v>
      </c>
      <c r="G621" s="8" t="s">
        <v>103</v>
      </c>
      <c r="H621" s="8" t="s">
        <v>125</v>
      </c>
      <c r="I621" s="16" t="s">
        <v>296</v>
      </c>
      <c r="J621" s="16">
        <v>17.046649631659001</v>
      </c>
      <c r="K621" s="16">
        <v>-96.723137463938997</v>
      </c>
      <c r="L621" s="16" t="str">
        <f>HYPERLINK("https://maps.google.com/?q=17.046649631659,-96.723137463939", "🔗 Ver Mapa")</f>
        <v>🔗 Ver Mapa</v>
      </c>
    </row>
    <row r="622" spans="1:12" ht="43.5" x14ac:dyDescent="0.35">
      <c r="A622" s="6" t="s">
        <v>291</v>
      </c>
      <c r="B622" s="6" t="s">
        <v>292</v>
      </c>
      <c r="C622" s="6" t="s">
        <v>377</v>
      </c>
      <c r="D622" s="11" t="s">
        <v>294</v>
      </c>
      <c r="E622" s="17" t="s">
        <v>75</v>
      </c>
      <c r="F622" s="17" t="s">
        <v>86</v>
      </c>
      <c r="G622" s="11" t="s">
        <v>103</v>
      </c>
      <c r="H622" s="11" t="s">
        <v>125</v>
      </c>
      <c r="I622" s="17" t="s">
        <v>296</v>
      </c>
      <c r="J622" s="17">
        <v>17.046842748469</v>
      </c>
      <c r="K622" s="17">
        <v>-96.727472483842007</v>
      </c>
      <c r="L622" s="17" t="str">
        <f>HYPERLINK("https://maps.google.com/?q=17.046842748469,-96.727472483842", "🔗 Ver Mapa")</f>
        <v>🔗 Ver Mapa</v>
      </c>
    </row>
    <row r="623" spans="1:12" ht="43.5" x14ac:dyDescent="0.35">
      <c r="A623" s="5" t="s">
        <v>291</v>
      </c>
      <c r="B623" s="5" t="s">
        <v>292</v>
      </c>
      <c r="C623" s="5" t="s">
        <v>377</v>
      </c>
      <c r="D623" s="8" t="s">
        <v>294</v>
      </c>
      <c r="E623" s="16" t="s">
        <v>75</v>
      </c>
      <c r="F623" s="16" t="s">
        <v>86</v>
      </c>
      <c r="G623" s="8" t="s">
        <v>103</v>
      </c>
      <c r="H623" s="8" t="s">
        <v>125</v>
      </c>
      <c r="I623" s="16" t="s">
        <v>296</v>
      </c>
      <c r="J623" s="16">
        <v>17.046891883360999</v>
      </c>
      <c r="K623" s="16">
        <v>-96.723303671769997</v>
      </c>
      <c r="L623" s="16" t="str">
        <f>HYPERLINK("https://maps.google.com/?q=17.046891883361,-96.72330367177", "🔗 Ver Mapa")</f>
        <v>🔗 Ver Mapa</v>
      </c>
    </row>
    <row r="624" spans="1:12" ht="43.5" x14ac:dyDescent="0.35">
      <c r="A624" s="6" t="s">
        <v>291</v>
      </c>
      <c r="B624" s="6" t="s">
        <v>292</v>
      </c>
      <c r="C624" s="6" t="s">
        <v>377</v>
      </c>
      <c r="D624" s="11" t="s">
        <v>294</v>
      </c>
      <c r="E624" s="17" t="s">
        <v>75</v>
      </c>
      <c r="F624" s="17" t="s">
        <v>86</v>
      </c>
      <c r="G624" s="11" t="s">
        <v>103</v>
      </c>
      <c r="H624" s="11" t="s">
        <v>125</v>
      </c>
      <c r="I624" s="17" t="s">
        <v>296</v>
      </c>
      <c r="J624" s="17">
        <v>17.046935880597999</v>
      </c>
      <c r="K624" s="17">
        <v>-96.727857580551003</v>
      </c>
      <c r="L624" s="17" t="str">
        <f>HYPERLINK("https://maps.google.com/?q=17.046935880598,-96.727857580551", "🔗 Ver Mapa")</f>
        <v>🔗 Ver Mapa</v>
      </c>
    </row>
    <row r="625" spans="1:12" ht="43.5" x14ac:dyDescent="0.35">
      <c r="A625" s="5" t="s">
        <v>291</v>
      </c>
      <c r="B625" s="5" t="s">
        <v>292</v>
      </c>
      <c r="C625" s="5" t="s">
        <v>377</v>
      </c>
      <c r="D625" s="8" t="s">
        <v>294</v>
      </c>
      <c r="E625" s="16" t="s">
        <v>75</v>
      </c>
      <c r="F625" s="16" t="s">
        <v>86</v>
      </c>
      <c r="G625" s="8" t="s">
        <v>103</v>
      </c>
      <c r="H625" s="8" t="s">
        <v>125</v>
      </c>
      <c r="I625" s="16" t="s">
        <v>296</v>
      </c>
      <c r="J625" s="16">
        <v>17.046998519832002</v>
      </c>
      <c r="K625" s="16">
        <v>-96.728787867725998</v>
      </c>
      <c r="L625" s="16" t="str">
        <f>HYPERLINK("https://maps.google.com/?q=17.046998519832,-96.728787867726", "🔗 Ver Mapa")</f>
        <v>🔗 Ver Mapa</v>
      </c>
    </row>
    <row r="626" spans="1:12" ht="43.5" x14ac:dyDescent="0.35">
      <c r="A626" s="6" t="s">
        <v>291</v>
      </c>
      <c r="B626" s="6" t="s">
        <v>292</v>
      </c>
      <c r="C626" s="6" t="s">
        <v>377</v>
      </c>
      <c r="D626" s="11" t="s">
        <v>294</v>
      </c>
      <c r="E626" s="17" t="s">
        <v>75</v>
      </c>
      <c r="F626" s="17" t="s">
        <v>86</v>
      </c>
      <c r="G626" s="11" t="s">
        <v>103</v>
      </c>
      <c r="H626" s="11" t="s">
        <v>125</v>
      </c>
      <c r="I626" s="17" t="s">
        <v>296</v>
      </c>
      <c r="J626" s="17">
        <v>17.047062734404999</v>
      </c>
      <c r="K626" s="17">
        <v>-96.726979726039005</v>
      </c>
      <c r="L626" s="17" t="str">
        <f>HYPERLINK("https://maps.google.com/?q=17.047062734405,-96.726979726039", "🔗 Ver Mapa")</f>
        <v>🔗 Ver Mapa</v>
      </c>
    </row>
    <row r="627" spans="1:12" ht="43.5" x14ac:dyDescent="0.35">
      <c r="A627" s="5" t="s">
        <v>291</v>
      </c>
      <c r="B627" s="5" t="s">
        <v>292</v>
      </c>
      <c r="C627" s="5" t="s">
        <v>377</v>
      </c>
      <c r="D627" s="8" t="s">
        <v>294</v>
      </c>
      <c r="E627" s="16" t="s">
        <v>75</v>
      </c>
      <c r="F627" s="16" t="s">
        <v>86</v>
      </c>
      <c r="G627" s="8" t="s">
        <v>103</v>
      </c>
      <c r="H627" s="8" t="s">
        <v>125</v>
      </c>
      <c r="I627" s="16" t="s">
        <v>296</v>
      </c>
      <c r="J627" s="16">
        <v>17.047136343704</v>
      </c>
      <c r="K627" s="16">
        <v>-96.723465480198001</v>
      </c>
      <c r="L627" s="16" t="str">
        <f>HYPERLINK("https://maps.google.com/?q=17.047136343704,-96.723465480198", "🔗 Ver Mapa")</f>
        <v>🔗 Ver Mapa</v>
      </c>
    </row>
    <row r="628" spans="1:12" ht="43.5" x14ac:dyDescent="0.35">
      <c r="A628" s="6" t="s">
        <v>291</v>
      </c>
      <c r="B628" s="6" t="s">
        <v>292</v>
      </c>
      <c r="C628" s="6" t="s">
        <v>377</v>
      </c>
      <c r="D628" s="11" t="s">
        <v>294</v>
      </c>
      <c r="E628" s="17" t="s">
        <v>75</v>
      </c>
      <c r="F628" s="17" t="s">
        <v>86</v>
      </c>
      <c r="G628" s="11" t="s">
        <v>103</v>
      </c>
      <c r="H628" s="11" t="s">
        <v>125</v>
      </c>
      <c r="I628" s="17" t="s">
        <v>296</v>
      </c>
      <c r="J628" s="17">
        <v>17.047233573641002</v>
      </c>
      <c r="K628" s="17">
        <v>-96.727789667221003</v>
      </c>
      <c r="L628" s="17" t="str">
        <f>HYPERLINK("https://maps.google.com/?q=17.047233573641,-96.727789667221", "🔗 Ver Mapa")</f>
        <v>🔗 Ver Mapa</v>
      </c>
    </row>
    <row r="629" spans="1:12" ht="43.5" x14ac:dyDescent="0.35">
      <c r="A629" s="5" t="s">
        <v>291</v>
      </c>
      <c r="B629" s="5" t="s">
        <v>292</v>
      </c>
      <c r="C629" s="5" t="s">
        <v>377</v>
      </c>
      <c r="D629" s="8" t="s">
        <v>294</v>
      </c>
      <c r="E629" s="16" t="s">
        <v>75</v>
      </c>
      <c r="F629" s="16" t="s">
        <v>86</v>
      </c>
      <c r="G629" s="8" t="s">
        <v>103</v>
      </c>
      <c r="H629" s="8" t="s">
        <v>125</v>
      </c>
      <c r="I629" s="16" t="s">
        <v>296</v>
      </c>
      <c r="J629" s="16">
        <v>17.047339799069999</v>
      </c>
      <c r="K629" s="16">
        <v>-96.722537951061</v>
      </c>
      <c r="L629" s="16" t="str">
        <f>HYPERLINK("https://maps.google.com/?q=17.04733979907,-96.722537951061", "🔗 Ver Mapa")</f>
        <v>🔗 Ver Mapa</v>
      </c>
    </row>
    <row r="630" spans="1:12" ht="43.5" x14ac:dyDescent="0.35">
      <c r="A630" s="6" t="s">
        <v>291</v>
      </c>
      <c r="B630" s="6" t="s">
        <v>292</v>
      </c>
      <c r="C630" s="6" t="s">
        <v>377</v>
      </c>
      <c r="D630" s="11" t="s">
        <v>294</v>
      </c>
      <c r="E630" s="17" t="s">
        <v>75</v>
      </c>
      <c r="F630" s="17" t="s">
        <v>86</v>
      </c>
      <c r="G630" s="11" t="s">
        <v>103</v>
      </c>
      <c r="H630" s="11" t="s">
        <v>125</v>
      </c>
      <c r="I630" s="17" t="s">
        <v>296</v>
      </c>
      <c r="J630" s="17">
        <v>17.047444487183999</v>
      </c>
      <c r="K630" s="17">
        <v>-96.726909717965995</v>
      </c>
      <c r="L630" s="17" t="str">
        <f>HYPERLINK("https://maps.google.com/?q=17.047444487184,-96.726909717966", "🔗 Ver Mapa")</f>
        <v>🔗 Ver Mapa</v>
      </c>
    </row>
    <row r="631" spans="1:12" ht="43.5" x14ac:dyDescent="0.35">
      <c r="A631" s="5" t="s">
        <v>291</v>
      </c>
      <c r="B631" s="5" t="s">
        <v>292</v>
      </c>
      <c r="C631" s="5" t="s">
        <v>377</v>
      </c>
      <c r="D631" s="8" t="s">
        <v>294</v>
      </c>
      <c r="E631" s="16" t="s">
        <v>75</v>
      </c>
      <c r="F631" s="16" t="s">
        <v>86</v>
      </c>
      <c r="G631" s="8" t="s">
        <v>103</v>
      </c>
      <c r="H631" s="8" t="s">
        <v>125</v>
      </c>
      <c r="I631" s="16" t="s">
        <v>296</v>
      </c>
      <c r="J631" s="16">
        <v>17.047485316785998</v>
      </c>
      <c r="K631" s="16">
        <v>-96.716939169886999</v>
      </c>
      <c r="L631" s="16" t="str">
        <f>HYPERLINK("https://maps.google.com/?q=17.047485316786,-96.716939169887", "🔗 Ver Mapa")</f>
        <v>🔗 Ver Mapa</v>
      </c>
    </row>
    <row r="632" spans="1:12" ht="43.5" x14ac:dyDescent="0.35">
      <c r="A632" s="6" t="s">
        <v>291</v>
      </c>
      <c r="B632" s="6" t="s">
        <v>292</v>
      </c>
      <c r="C632" s="6" t="s">
        <v>377</v>
      </c>
      <c r="D632" s="11" t="s">
        <v>294</v>
      </c>
      <c r="E632" s="17" t="s">
        <v>75</v>
      </c>
      <c r="F632" s="17" t="s">
        <v>86</v>
      </c>
      <c r="G632" s="11" t="s">
        <v>103</v>
      </c>
      <c r="H632" s="11" t="s">
        <v>125</v>
      </c>
      <c r="I632" s="17" t="s">
        <v>296</v>
      </c>
      <c r="J632" s="17">
        <v>17.047611003568001</v>
      </c>
      <c r="K632" s="17">
        <v>-96.727698295934005</v>
      </c>
      <c r="L632" s="17" t="str">
        <f>HYPERLINK("https://maps.google.com/?q=17.047611003568,-96.727698295934", "🔗 Ver Mapa")</f>
        <v>🔗 Ver Mapa</v>
      </c>
    </row>
    <row r="633" spans="1:12" ht="43.5" x14ac:dyDescent="0.35">
      <c r="A633" s="5" t="s">
        <v>291</v>
      </c>
      <c r="B633" s="5" t="s">
        <v>292</v>
      </c>
      <c r="C633" s="5" t="s">
        <v>377</v>
      </c>
      <c r="D633" s="8" t="s">
        <v>294</v>
      </c>
      <c r="E633" s="16" t="s">
        <v>75</v>
      </c>
      <c r="F633" s="16" t="s">
        <v>86</v>
      </c>
      <c r="G633" s="8" t="s">
        <v>103</v>
      </c>
      <c r="H633" s="8" t="s">
        <v>125</v>
      </c>
      <c r="I633" s="16" t="s">
        <v>296</v>
      </c>
      <c r="J633" s="16">
        <v>17.047713212223002</v>
      </c>
      <c r="K633" s="16">
        <v>-96.723366619654001</v>
      </c>
      <c r="L633" s="16" t="str">
        <f>HYPERLINK("https://maps.google.com/?q=17.047713212223,-96.723366619654", "🔗 Ver Mapa")</f>
        <v>🔗 Ver Mapa</v>
      </c>
    </row>
    <row r="634" spans="1:12" ht="43.5" x14ac:dyDescent="0.35">
      <c r="A634" s="6" t="s">
        <v>291</v>
      </c>
      <c r="B634" s="6" t="s">
        <v>292</v>
      </c>
      <c r="C634" s="6" t="s">
        <v>377</v>
      </c>
      <c r="D634" s="11" t="s">
        <v>294</v>
      </c>
      <c r="E634" s="17" t="s">
        <v>75</v>
      </c>
      <c r="F634" s="17" t="s">
        <v>86</v>
      </c>
      <c r="G634" s="11" t="s">
        <v>103</v>
      </c>
      <c r="H634" s="11" t="s">
        <v>125</v>
      </c>
      <c r="I634" s="17" t="s">
        <v>296</v>
      </c>
      <c r="J634" s="17">
        <v>17.047755380300998</v>
      </c>
      <c r="K634" s="17">
        <v>-96.723948786340003</v>
      </c>
      <c r="L634" s="17" t="str">
        <f>HYPERLINK("https://maps.google.com/?q=17.047755380301,-96.72394878634", "🔗 Ver Mapa")</f>
        <v>🔗 Ver Mapa</v>
      </c>
    </row>
    <row r="635" spans="1:12" ht="43.5" x14ac:dyDescent="0.35">
      <c r="A635" s="5" t="s">
        <v>291</v>
      </c>
      <c r="B635" s="5" t="s">
        <v>292</v>
      </c>
      <c r="C635" s="5" t="s">
        <v>377</v>
      </c>
      <c r="D635" s="8" t="s">
        <v>294</v>
      </c>
      <c r="E635" s="16" t="s">
        <v>75</v>
      </c>
      <c r="F635" s="16" t="s">
        <v>86</v>
      </c>
      <c r="G635" s="8" t="s">
        <v>103</v>
      </c>
      <c r="H635" s="8" t="s">
        <v>125</v>
      </c>
      <c r="I635" s="16" t="s">
        <v>296</v>
      </c>
      <c r="J635" s="16">
        <v>17.047844455450001</v>
      </c>
      <c r="K635" s="16">
        <v>-96.726800519167995</v>
      </c>
      <c r="L635" s="16" t="str">
        <f>HYPERLINK("https://maps.google.com/?q=17.04784445545,-96.726800519168", "🔗 Ver Mapa")</f>
        <v>🔗 Ver Mapa</v>
      </c>
    </row>
    <row r="636" spans="1:12" ht="43.5" x14ac:dyDescent="0.35">
      <c r="A636" s="6" t="s">
        <v>291</v>
      </c>
      <c r="B636" s="6" t="s">
        <v>292</v>
      </c>
      <c r="C636" s="6" t="s">
        <v>377</v>
      </c>
      <c r="D636" s="11" t="s">
        <v>294</v>
      </c>
      <c r="E636" s="17" t="s">
        <v>75</v>
      </c>
      <c r="F636" s="17" t="s">
        <v>86</v>
      </c>
      <c r="G636" s="11" t="s">
        <v>103</v>
      </c>
      <c r="H636" s="11" t="s">
        <v>125</v>
      </c>
      <c r="I636" s="17" t="s">
        <v>296</v>
      </c>
      <c r="J636" s="17">
        <v>17.047882696710001</v>
      </c>
      <c r="K636" s="17">
        <v>-96.720061011327005</v>
      </c>
      <c r="L636" s="17" t="str">
        <f>HYPERLINK("https://maps.google.com/?q=17.04788269671,-96.720061011327", "🔗 Ver Mapa")</f>
        <v>🔗 Ver Mapa</v>
      </c>
    </row>
    <row r="637" spans="1:12" ht="43.5" x14ac:dyDescent="0.35">
      <c r="A637" s="5" t="s">
        <v>291</v>
      </c>
      <c r="B637" s="5" t="s">
        <v>292</v>
      </c>
      <c r="C637" s="5" t="s">
        <v>377</v>
      </c>
      <c r="D637" s="8" t="s">
        <v>294</v>
      </c>
      <c r="E637" s="16" t="s">
        <v>75</v>
      </c>
      <c r="F637" s="16" t="s">
        <v>86</v>
      </c>
      <c r="G637" s="8" t="s">
        <v>103</v>
      </c>
      <c r="H637" s="8" t="s">
        <v>125</v>
      </c>
      <c r="I637" s="16" t="s">
        <v>296</v>
      </c>
      <c r="J637" s="16">
        <v>17.048018830286001</v>
      </c>
      <c r="K637" s="16">
        <v>-96.727596287330996</v>
      </c>
      <c r="L637" s="16" t="str">
        <f>HYPERLINK("https://maps.google.com/?q=17.048018830286,-96.727596287331", "🔗 Ver Mapa")</f>
        <v>🔗 Ver Mapa</v>
      </c>
    </row>
    <row r="638" spans="1:12" ht="43.5" x14ac:dyDescent="0.35">
      <c r="A638" s="6" t="s">
        <v>291</v>
      </c>
      <c r="B638" s="6" t="s">
        <v>292</v>
      </c>
      <c r="C638" s="6" t="s">
        <v>377</v>
      </c>
      <c r="D638" s="11" t="s">
        <v>294</v>
      </c>
      <c r="E638" s="17" t="s">
        <v>75</v>
      </c>
      <c r="F638" s="17" t="s">
        <v>86</v>
      </c>
      <c r="G638" s="11" t="s">
        <v>103</v>
      </c>
      <c r="H638" s="11" t="s">
        <v>125</v>
      </c>
      <c r="I638" s="17" t="s">
        <v>296</v>
      </c>
      <c r="J638" s="17">
        <v>17.048041211931</v>
      </c>
      <c r="K638" s="17">
        <v>-96.721285014089005</v>
      </c>
      <c r="L638" s="17" t="str">
        <f>HYPERLINK("https://maps.google.com/?q=17.048041211931,-96.721285014089", "🔗 Ver Mapa")</f>
        <v>🔗 Ver Mapa</v>
      </c>
    </row>
    <row r="639" spans="1:12" ht="43.5" x14ac:dyDescent="0.35">
      <c r="A639" s="5" t="s">
        <v>291</v>
      </c>
      <c r="B639" s="5" t="s">
        <v>292</v>
      </c>
      <c r="C639" s="5" t="s">
        <v>377</v>
      </c>
      <c r="D639" s="8" t="s">
        <v>294</v>
      </c>
      <c r="E639" s="16" t="s">
        <v>75</v>
      </c>
      <c r="F639" s="16" t="s">
        <v>86</v>
      </c>
      <c r="G639" s="8" t="s">
        <v>103</v>
      </c>
      <c r="H639" s="8" t="s">
        <v>125</v>
      </c>
      <c r="I639" s="16" t="s">
        <v>296</v>
      </c>
      <c r="J639" s="16">
        <v>17.048325027154998</v>
      </c>
      <c r="K639" s="16">
        <v>-96.713969612216999</v>
      </c>
      <c r="L639" s="16" t="str">
        <f>HYPERLINK("https://maps.google.com/?q=17.048325027155,-96.713969612217", "🔗 Ver Mapa")</f>
        <v>🔗 Ver Mapa</v>
      </c>
    </row>
    <row r="640" spans="1:12" ht="43.5" x14ac:dyDescent="0.35">
      <c r="A640" s="6" t="s">
        <v>291</v>
      </c>
      <c r="B640" s="6" t="s">
        <v>292</v>
      </c>
      <c r="C640" s="6" t="s">
        <v>377</v>
      </c>
      <c r="D640" s="11" t="s">
        <v>294</v>
      </c>
      <c r="E640" s="17" t="s">
        <v>75</v>
      </c>
      <c r="F640" s="17" t="s">
        <v>86</v>
      </c>
      <c r="G640" s="11" t="s">
        <v>103</v>
      </c>
      <c r="H640" s="11" t="s">
        <v>125</v>
      </c>
      <c r="I640" s="17" t="s">
        <v>296</v>
      </c>
      <c r="J640" s="17">
        <v>17.048407428034999</v>
      </c>
      <c r="K640" s="17">
        <v>-96.716895825926002</v>
      </c>
      <c r="L640" s="17" t="str">
        <f>HYPERLINK("https://maps.google.com/?q=17.048407428035,-96.716895825926", "🔗 Ver Mapa")</f>
        <v>🔗 Ver Mapa</v>
      </c>
    </row>
    <row r="641" spans="1:12" ht="43.5" x14ac:dyDescent="0.35">
      <c r="A641" s="5" t="s">
        <v>291</v>
      </c>
      <c r="B641" s="5" t="s">
        <v>292</v>
      </c>
      <c r="C641" s="5" t="s">
        <v>377</v>
      </c>
      <c r="D641" s="8" t="s">
        <v>294</v>
      </c>
      <c r="E641" s="16" t="s">
        <v>75</v>
      </c>
      <c r="F641" s="16" t="s">
        <v>86</v>
      </c>
      <c r="G641" s="8" t="s">
        <v>103</v>
      </c>
      <c r="H641" s="8" t="s">
        <v>125</v>
      </c>
      <c r="I641" s="16" t="s">
        <v>296</v>
      </c>
      <c r="J641" s="16">
        <v>17.048451406007999</v>
      </c>
      <c r="K641" s="16">
        <v>-96.724046657863994</v>
      </c>
      <c r="L641" s="16" t="str">
        <f>HYPERLINK("https://maps.google.com/?q=17.048451406008,-96.724046657864", "🔗 Ver Mapa")</f>
        <v>🔗 Ver Mapa</v>
      </c>
    </row>
    <row r="642" spans="1:12" ht="43.5" x14ac:dyDescent="0.35">
      <c r="A642" s="6" t="s">
        <v>291</v>
      </c>
      <c r="B642" s="6" t="s">
        <v>292</v>
      </c>
      <c r="C642" s="6" t="s">
        <v>377</v>
      </c>
      <c r="D642" s="11" t="s">
        <v>294</v>
      </c>
      <c r="E642" s="17" t="s">
        <v>75</v>
      </c>
      <c r="F642" s="17" t="s">
        <v>86</v>
      </c>
      <c r="G642" s="11" t="s">
        <v>103</v>
      </c>
      <c r="H642" s="11" t="s">
        <v>125</v>
      </c>
      <c r="I642" s="17" t="s">
        <v>296</v>
      </c>
      <c r="J642" s="17">
        <v>17.048516052124</v>
      </c>
      <c r="K642" s="17">
        <v>-96.716898348355997</v>
      </c>
      <c r="L642" s="17" t="str">
        <f>HYPERLINK("https://maps.google.com/?q=17.048516052124,-96.716898348356", "🔗 Ver Mapa")</f>
        <v>🔗 Ver Mapa</v>
      </c>
    </row>
    <row r="643" spans="1:12" ht="43.5" x14ac:dyDescent="0.35">
      <c r="A643" s="5" t="s">
        <v>291</v>
      </c>
      <c r="B643" s="5" t="s">
        <v>292</v>
      </c>
      <c r="C643" s="5" t="s">
        <v>377</v>
      </c>
      <c r="D643" s="8" t="s">
        <v>294</v>
      </c>
      <c r="E643" s="16" t="s">
        <v>75</v>
      </c>
      <c r="F643" s="16" t="s">
        <v>86</v>
      </c>
      <c r="G643" s="8" t="s">
        <v>103</v>
      </c>
      <c r="H643" s="8" t="s">
        <v>125</v>
      </c>
      <c r="I643" s="16" t="s">
        <v>296</v>
      </c>
      <c r="J643" s="16">
        <v>17.048568121401999</v>
      </c>
      <c r="K643" s="16">
        <v>-96.71378559003</v>
      </c>
      <c r="L643" s="16" t="str">
        <f>HYPERLINK("https://maps.google.com/?q=17.048568121402,-96.71378559003", "🔗 Ver Mapa")</f>
        <v>🔗 Ver Mapa</v>
      </c>
    </row>
    <row r="644" spans="1:12" ht="43.5" x14ac:dyDescent="0.35">
      <c r="A644" s="6" t="s">
        <v>291</v>
      </c>
      <c r="B644" s="6" t="s">
        <v>292</v>
      </c>
      <c r="C644" s="6" t="s">
        <v>377</v>
      </c>
      <c r="D644" s="11" t="s">
        <v>294</v>
      </c>
      <c r="E644" s="17" t="s">
        <v>75</v>
      </c>
      <c r="F644" s="17" t="s">
        <v>86</v>
      </c>
      <c r="G644" s="11" t="s">
        <v>103</v>
      </c>
      <c r="H644" s="11" t="s">
        <v>125</v>
      </c>
      <c r="I644" s="17" t="s">
        <v>296</v>
      </c>
      <c r="J644" s="17">
        <v>17.048568733776001</v>
      </c>
      <c r="K644" s="17">
        <v>-96.716834720226004</v>
      </c>
      <c r="L644" s="17" t="str">
        <f>HYPERLINK("https://maps.google.com/?q=17.048568733776,-96.716834720226", "🔗 Ver Mapa")</f>
        <v>🔗 Ver Mapa</v>
      </c>
    </row>
    <row r="645" spans="1:12" ht="43.5" x14ac:dyDescent="0.35">
      <c r="A645" s="5" t="s">
        <v>291</v>
      </c>
      <c r="B645" s="5" t="s">
        <v>292</v>
      </c>
      <c r="C645" s="5" t="s">
        <v>377</v>
      </c>
      <c r="D645" s="8" t="s">
        <v>294</v>
      </c>
      <c r="E645" s="16" t="s">
        <v>75</v>
      </c>
      <c r="F645" s="16" t="s">
        <v>86</v>
      </c>
      <c r="G645" s="8" t="s">
        <v>103</v>
      </c>
      <c r="H645" s="8" t="s">
        <v>125</v>
      </c>
      <c r="I645" s="16" t="s">
        <v>296</v>
      </c>
      <c r="J645" s="16">
        <v>17.048641688488001</v>
      </c>
      <c r="K645" s="16">
        <v>-96.726617230680006</v>
      </c>
      <c r="L645" s="16" t="str">
        <f>HYPERLINK("https://maps.google.com/?q=17.048641688488,-96.72661723068", "🔗 Ver Mapa")</f>
        <v>🔗 Ver Mapa</v>
      </c>
    </row>
    <row r="646" spans="1:12" ht="43.5" x14ac:dyDescent="0.35">
      <c r="A646" s="6" t="s">
        <v>291</v>
      </c>
      <c r="B646" s="6" t="s">
        <v>292</v>
      </c>
      <c r="C646" s="6" t="s">
        <v>377</v>
      </c>
      <c r="D646" s="11" t="s">
        <v>294</v>
      </c>
      <c r="E646" s="17" t="s">
        <v>75</v>
      </c>
      <c r="F646" s="17" t="s">
        <v>86</v>
      </c>
      <c r="G646" s="11" t="s">
        <v>103</v>
      </c>
      <c r="H646" s="11" t="s">
        <v>125</v>
      </c>
      <c r="I646" s="17" t="s">
        <v>296</v>
      </c>
      <c r="J646" s="17">
        <v>17.048806379993</v>
      </c>
      <c r="K646" s="17">
        <v>-96.727399170793007</v>
      </c>
      <c r="L646" s="17" t="str">
        <f>HYPERLINK("https://maps.google.com/?q=17.048806379993,-96.727399170793", "🔗 Ver Mapa")</f>
        <v>🔗 Ver Mapa</v>
      </c>
    </row>
    <row r="647" spans="1:12" ht="43.5" x14ac:dyDescent="0.35">
      <c r="A647" s="5" t="s">
        <v>291</v>
      </c>
      <c r="B647" s="5" t="s">
        <v>292</v>
      </c>
      <c r="C647" s="5" t="s">
        <v>377</v>
      </c>
      <c r="D647" s="8" t="s">
        <v>294</v>
      </c>
      <c r="E647" s="16" t="s">
        <v>75</v>
      </c>
      <c r="F647" s="16" t="s">
        <v>86</v>
      </c>
      <c r="G647" s="8" t="s">
        <v>103</v>
      </c>
      <c r="H647" s="8" t="s">
        <v>125</v>
      </c>
      <c r="I647" s="16" t="s">
        <v>296</v>
      </c>
      <c r="J647" s="16">
        <v>17.048854507990999</v>
      </c>
      <c r="K647" s="16">
        <v>-96.716770342109996</v>
      </c>
      <c r="L647" s="16" t="str">
        <f>HYPERLINK("https://maps.google.com/?q=17.048854507991,-96.71677034211", "🔗 Ver Mapa")</f>
        <v>🔗 Ver Mapa</v>
      </c>
    </row>
    <row r="648" spans="1:12" ht="43.5" x14ac:dyDescent="0.35">
      <c r="A648" s="6" t="s">
        <v>291</v>
      </c>
      <c r="B648" s="6" t="s">
        <v>292</v>
      </c>
      <c r="C648" s="6" t="s">
        <v>377</v>
      </c>
      <c r="D648" s="11" t="s">
        <v>294</v>
      </c>
      <c r="E648" s="17" t="s">
        <v>75</v>
      </c>
      <c r="F648" s="17" t="s">
        <v>86</v>
      </c>
      <c r="G648" s="11" t="s">
        <v>103</v>
      </c>
      <c r="H648" s="11" t="s">
        <v>125</v>
      </c>
      <c r="I648" s="17" t="s">
        <v>296</v>
      </c>
      <c r="J648" s="17">
        <v>17.048862416948001</v>
      </c>
      <c r="K648" s="17">
        <v>-96.716792375441003</v>
      </c>
      <c r="L648" s="17" t="str">
        <f>HYPERLINK("https://maps.google.com/?q=17.048862416948,-96.716792375441", "🔗 Ver Mapa")</f>
        <v>🔗 Ver Mapa</v>
      </c>
    </row>
    <row r="649" spans="1:12" ht="43.5" x14ac:dyDescent="0.35">
      <c r="A649" s="5" t="s">
        <v>291</v>
      </c>
      <c r="B649" s="5" t="s">
        <v>292</v>
      </c>
      <c r="C649" s="5" t="s">
        <v>377</v>
      </c>
      <c r="D649" s="8" t="s">
        <v>294</v>
      </c>
      <c r="E649" s="16" t="s">
        <v>75</v>
      </c>
      <c r="F649" s="16" t="s">
        <v>86</v>
      </c>
      <c r="G649" s="8" t="s">
        <v>103</v>
      </c>
      <c r="H649" s="8" t="s">
        <v>125</v>
      </c>
      <c r="I649" s="16" t="s">
        <v>296</v>
      </c>
      <c r="J649" s="16">
        <v>17.048875160301002</v>
      </c>
      <c r="K649" s="16">
        <v>-96.716820371471997</v>
      </c>
      <c r="L649" s="16" t="str">
        <f>HYPERLINK("https://maps.google.com/?q=17.048875160301,-96.716820371472", "🔗 Ver Mapa")</f>
        <v>🔗 Ver Mapa</v>
      </c>
    </row>
    <row r="650" spans="1:12" ht="43.5" x14ac:dyDescent="0.35">
      <c r="A650" s="6" t="s">
        <v>291</v>
      </c>
      <c r="B650" s="6" t="s">
        <v>292</v>
      </c>
      <c r="C650" s="6" t="s">
        <v>377</v>
      </c>
      <c r="D650" s="11" t="s">
        <v>294</v>
      </c>
      <c r="E650" s="17" t="s">
        <v>75</v>
      </c>
      <c r="F650" s="17" t="s">
        <v>86</v>
      </c>
      <c r="G650" s="11" t="s">
        <v>103</v>
      </c>
      <c r="H650" s="11" t="s">
        <v>125</v>
      </c>
      <c r="I650" s="17" t="s">
        <v>296</v>
      </c>
      <c r="J650" s="17">
        <v>17.048877966363001</v>
      </c>
      <c r="K650" s="17">
        <v>-96.716762863840998</v>
      </c>
      <c r="L650" s="17" t="str">
        <f>HYPERLINK("https://maps.google.com/?q=17.048877966363,-96.716762863841", "🔗 Ver Mapa")</f>
        <v>🔗 Ver Mapa</v>
      </c>
    </row>
    <row r="651" spans="1:12" ht="43.5" x14ac:dyDescent="0.35">
      <c r="A651" s="5" t="s">
        <v>291</v>
      </c>
      <c r="B651" s="5" t="s">
        <v>292</v>
      </c>
      <c r="C651" s="5" t="s">
        <v>377</v>
      </c>
      <c r="D651" s="8" t="s">
        <v>294</v>
      </c>
      <c r="E651" s="16" t="s">
        <v>75</v>
      </c>
      <c r="F651" s="16" t="s">
        <v>86</v>
      </c>
      <c r="G651" s="8" t="s">
        <v>103</v>
      </c>
      <c r="H651" s="8" t="s">
        <v>125</v>
      </c>
      <c r="I651" s="16" t="s">
        <v>296</v>
      </c>
      <c r="J651" s="16">
        <v>17.048914877485998</v>
      </c>
      <c r="K651" s="16">
        <v>-96.725931359021004</v>
      </c>
      <c r="L651" s="16" t="str">
        <f>HYPERLINK("https://maps.google.com/?q=17.048914877486,-96.725931359021", "🔗 Ver Mapa")</f>
        <v>🔗 Ver Mapa</v>
      </c>
    </row>
    <row r="652" spans="1:12" ht="43.5" x14ac:dyDescent="0.35">
      <c r="A652" s="6" t="s">
        <v>291</v>
      </c>
      <c r="B652" s="6" t="s">
        <v>292</v>
      </c>
      <c r="C652" s="6" t="s">
        <v>377</v>
      </c>
      <c r="D652" s="11" t="s">
        <v>294</v>
      </c>
      <c r="E652" s="17" t="s">
        <v>75</v>
      </c>
      <c r="F652" s="17" t="s">
        <v>86</v>
      </c>
      <c r="G652" s="11" t="s">
        <v>103</v>
      </c>
      <c r="H652" s="11" t="s">
        <v>125</v>
      </c>
      <c r="I652" s="17" t="s">
        <v>296</v>
      </c>
      <c r="J652" s="17">
        <v>17.048917336401999</v>
      </c>
      <c r="K652" s="17">
        <v>-96.725855836441994</v>
      </c>
      <c r="L652" s="17" t="str">
        <f>HYPERLINK("https://maps.google.com/?q=17.048917336402,-96.725855836442", "🔗 Ver Mapa")</f>
        <v>🔗 Ver Mapa</v>
      </c>
    </row>
    <row r="653" spans="1:12" ht="43.5" x14ac:dyDescent="0.35">
      <c r="A653" s="5" t="s">
        <v>291</v>
      </c>
      <c r="B653" s="5" t="s">
        <v>292</v>
      </c>
      <c r="C653" s="5" t="s">
        <v>377</v>
      </c>
      <c r="D653" s="8" t="s">
        <v>294</v>
      </c>
      <c r="E653" s="16" t="s">
        <v>75</v>
      </c>
      <c r="F653" s="16" t="s">
        <v>86</v>
      </c>
      <c r="G653" s="8" t="s">
        <v>103</v>
      </c>
      <c r="H653" s="8" t="s">
        <v>125</v>
      </c>
      <c r="I653" s="16" t="s">
        <v>296</v>
      </c>
      <c r="J653" s="16">
        <v>17.049213846668</v>
      </c>
      <c r="K653" s="16">
        <v>-96.727291981712</v>
      </c>
      <c r="L653" s="16" t="str">
        <f>HYPERLINK("https://maps.google.com/?q=17.049213846668,-96.727291981712", "🔗 Ver Mapa")</f>
        <v>🔗 Ver Mapa</v>
      </c>
    </row>
    <row r="654" spans="1:12" ht="43.5" x14ac:dyDescent="0.35">
      <c r="A654" s="6" t="s">
        <v>291</v>
      </c>
      <c r="B654" s="6" t="s">
        <v>292</v>
      </c>
      <c r="C654" s="6" t="s">
        <v>377</v>
      </c>
      <c r="D654" s="11" t="s">
        <v>294</v>
      </c>
      <c r="E654" s="17" t="s">
        <v>75</v>
      </c>
      <c r="F654" s="17" t="s">
        <v>86</v>
      </c>
      <c r="G654" s="11" t="s">
        <v>103</v>
      </c>
      <c r="H654" s="11" t="s">
        <v>125</v>
      </c>
      <c r="I654" s="17" t="s">
        <v>296</v>
      </c>
      <c r="J654" s="17">
        <v>17.049246078873999</v>
      </c>
      <c r="K654" s="17">
        <v>-96.713842240858</v>
      </c>
      <c r="L654" s="17" t="str">
        <f>HYPERLINK("https://maps.google.com/?q=17.049246078874,-96.713842240858", "🔗 Ver Mapa")</f>
        <v>🔗 Ver Mapa</v>
      </c>
    </row>
    <row r="655" spans="1:12" ht="43.5" x14ac:dyDescent="0.35">
      <c r="A655" s="5" t="s">
        <v>291</v>
      </c>
      <c r="B655" s="5" t="s">
        <v>292</v>
      </c>
      <c r="C655" s="5" t="s">
        <v>377</v>
      </c>
      <c r="D655" s="8" t="s">
        <v>294</v>
      </c>
      <c r="E655" s="16" t="s">
        <v>75</v>
      </c>
      <c r="F655" s="16" t="s">
        <v>86</v>
      </c>
      <c r="G655" s="8" t="s">
        <v>103</v>
      </c>
      <c r="H655" s="8" t="s">
        <v>125</v>
      </c>
      <c r="I655" s="16" t="s">
        <v>296</v>
      </c>
      <c r="J655" s="16">
        <v>17.049327921014999</v>
      </c>
      <c r="K655" s="16">
        <v>-96.716750616850007</v>
      </c>
      <c r="L655" s="16" t="str">
        <f>HYPERLINK("https://maps.google.com/?q=17.049327921015,-96.71675061685", "🔗 Ver Mapa")</f>
        <v>🔗 Ver Mapa</v>
      </c>
    </row>
    <row r="656" spans="1:12" ht="43.5" x14ac:dyDescent="0.35">
      <c r="A656" s="6" t="s">
        <v>291</v>
      </c>
      <c r="B656" s="6" t="s">
        <v>292</v>
      </c>
      <c r="C656" s="6" t="s">
        <v>377</v>
      </c>
      <c r="D656" s="11" t="s">
        <v>294</v>
      </c>
      <c r="E656" s="17" t="s">
        <v>75</v>
      </c>
      <c r="F656" s="17" t="s">
        <v>86</v>
      </c>
      <c r="G656" s="11" t="s">
        <v>103</v>
      </c>
      <c r="H656" s="11" t="s">
        <v>125</v>
      </c>
      <c r="I656" s="17" t="s">
        <v>296</v>
      </c>
      <c r="J656" s="17">
        <v>17.049411084311998</v>
      </c>
      <c r="K656" s="17">
        <v>-96.736009909326</v>
      </c>
      <c r="L656" s="17" t="str">
        <f>HYPERLINK("https://maps.google.com/?q=17.049411084312,-96.736009909326", "🔗 Ver Mapa")</f>
        <v>🔗 Ver Mapa</v>
      </c>
    </row>
    <row r="657" spans="1:12" ht="43.5" x14ac:dyDescent="0.35">
      <c r="A657" s="5" t="s">
        <v>291</v>
      </c>
      <c r="B657" s="5" t="s">
        <v>292</v>
      </c>
      <c r="C657" s="5" t="s">
        <v>377</v>
      </c>
      <c r="D657" s="8" t="s">
        <v>294</v>
      </c>
      <c r="E657" s="16" t="s">
        <v>75</v>
      </c>
      <c r="F657" s="16" t="s">
        <v>86</v>
      </c>
      <c r="G657" s="8" t="s">
        <v>103</v>
      </c>
      <c r="H657" s="8" t="s">
        <v>125</v>
      </c>
      <c r="I657" s="16" t="s">
        <v>296</v>
      </c>
      <c r="J657" s="16">
        <v>17.049562998233</v>
      </c>
      <c r="K657" s="16">
        <v>-96.723878716369001</v>
      </c>
      <c r="L657" s="16" t="str">
        <f>HYPERLINK("https://maps.google.com/?q=17.049562998233,-96.723878716369", "🔗 Ver Mapa")</f>
        <v>🔗 Ver Mapa</v>
      </c>
    </row>
    <row r="658" spans="1:12" ht="43.5" x14ac:dyDescent="0.35">
      <c r="A658" s="6" t="s">
        <v>291</v>
      </c>
      <c r="B658" s="6" t="s">
        <v>292</v>
      </c>
      <c r="C658" s="6" t="s">
        <v>377</v>
      </c>
      <c r="D658" s="11" t="s">
        <v>294</v>
      </c>
      <c r="E658" s="17" t="s">
        <v>75</v>
      </c>
      <c r="F658" s="17" t="s">
        <v>86</v>
      </c>
      <c r="G658" s="11" t="s">
        <v>103</v>
      </c>
      <c r="H658" s="11" t="s">
        <v>125</v>
      </c>
      <c r="I658" s="17" t="s">
        <v>296</v>
      </c>
      <c r="J658" s="17">
        <v>17.049586560237</v>
      </c>
      <c r="K658" s="17">
        <v>-96.724186394542002</v>
      </c>
      <c r="L658" s="17" t="str">
        <f>HYPERLINK("https://maps.google.com/?q=17.049586560237,-96.724186394542", "🔗 Ver Mapa")</f>
        <v>🔗 Ver Mapa</v>
      </c>
    </row>
    <row r="659" spans="1:12" ht="43.5" x14ac:dyDescent="0.35">
      <c r="A659" s="5" t="s">
        <v>291</v>
      </c>
      <c r="B659" s="5" t="s">
        <v>292</v>
      </c>
      <c r="C659" s="5" t="s">
        <v>377</v>
      </c>
      <c r="D659" s="8" t="s">
        <v>294</v>
      </c>
      <c r="E659" s="16" t="s">
        <v>75</v>
      </c>
      <c r="F659" s="16" t="s">
        <v>86</v>
      </c>
      <c r="G659" s="8" t="s">
        <v>103</v>
      </c>
      <c r="H659" s="8" t="s">
        <v>125</v>
      </c>
      <c r="I659" s="16" t="s">
        <v>296</v>
      </c>
      <c r="J659" s="16">
        <v>17.049691705151002</v>
      </c>
      <c r="K659" s="16">
        <v>-96.735881437496005</v>
      </c>
      <c r="L659" s="16" t="str">
        <f>HYPERLINK("https://maps.google.com/?q=17.049691705151,-96.735881437496", "🔗 Ver Mapa")</f>
        <v>🔗 Ver Mapa</v>
      </c>
    </row>
    <row r="660" spans="1:12" ht="43.5" x14ac:dyDescent="0.35">
      <c r="A660" s="6" t="s">
        <v>291</v>
      </c>
      <c r="B660" s="6" t="s">
        <v>292</v>
      </c>
      <c r="C660" s="6" t="s">
        <v>377</v>
      </c>
      <c r="D660" s="11" t="s">
        <v>294</v>
      </c>
      <c r="E660" s="17" t="s">
        <v>75</v>
      </c>
      <c r="F660" s="17" t="s">
        <v>86</v>
      </c>
      <c r="G660" s="11" t="s">
        <v>103</v>
      </c>
      <c r="H660" s="11" t="s">
        <v>125</v>
      </c>
      <c r="I660" s="17" t="s">
        <v>296</v>
      </c>
      <c r="J660" s="17">
        <v>17.049767000071</v>
      </c>
      <c r="K660" s="17">
        <v>-96.716738552810995</v>
      </c>
      <c r="L660" s="17" t="str">
        <f>HYPERLINK("https://maps.google.com/?q=17.049767000071,-96.716738552811", "🔗 Ver Mapa")</f>
        <v>🔗 Ver Mapa</v>
      </c>
    </row>
    <row r="661" spans="1:12" ht="43.5" x14ac:dyDescent="0.35">
      <c r="A661" s="5" t="s">
        <v>291</v>
      </c>
      <c r="B661" s="5" t="s">
        <v>292</v>
      </c>
      <c r="C661" s="5" t="s">
        <v>377</v>
      </c>
      <c r="D661" s="8" t="s">
        <v>294</v>
      </c>
      <c r="E661" s="16" t="s">
        <v>75</v>
      </c>
      <c r="F661" s="16" t="s">
        <v>86</v>
      </c>
      <c r="G661" s="8" t="s">
        <v>103</v>
      </c>
      <c r="H661" s="8" t="s">
        <v>125</v>
      </c>
      <c r="I661" s="16" t="s">
        <v>296</v>
      </c>
      <c r="J661" s="16">
        <v>17.049769029141</v>
      </c>
      <c r="K661" s="16">
        <v>-96.716764451087997</v>
      </c>
      <c r="L661" s="16" t="str">
        <f>HYPERLINK("https://maps.google.com/?q=17.049769029141,-96.716764451088", "🔗 Ver Mapa")</f>
        <v>🔗 Ver Mapa</v>
      </c>
    </row>
    <row r="662" spans="1:12" ht="43.5" x14ac:dyDescent="0.35">
      <c r="A662" s="6" t="s">
        <v>291</v>
      </c>
      <c r="B662" s="6" t="s">
        <v>292</v>
      </c>
      <c r="C662" s="6" t="s">
        <v>377</v>
      </c>
      <c r="D662" s="11" t="s">
        <v>294</v>
      </c>
      <c r="E662" s="17" t="s">
        <v>75</v>
      </c>
      <c r="F662" s="17" t="s">
        <v>86</v>
      </c>
      <c r="G662" s="11" t="s">
        <v>103</v>
      </c>
      <c r="H662" s="11" t="s">
        <v>125</v>
      </c>
      <c r="I662" s="17" t="s">
        <v>296</v>
      </c>
      <c r="J662" s="17">
        <v>17.049775338459</v>
      </c>
      <c r="K662" s="17">
        <v>-96.716714971621002</v>
      </c>
      <c r="L662" s="17" t="str">
        <f>HYPERLINK("https://maps.google.com/?q=17.049775338459,-96.716714971621", "🔗 Ver Mapa")</f>
        <v>🔗 Ver Mapa</v>
      </c>
    </row>
    <row r="663" spans="1:12" ht="43.5" x14ac:dyDescent="0.35">
      <c r="A663" s="5" t="s">
        <v>291</v>
      </c>
      <c r="B663" s="5" t="s">
        <v>292</v>
      </c>
      <c r="C663" s="5" t="s">
        <v>377</v>
      </c>
      <c r="D663" s="8" t="s">
        <v>294</v>
      </c>
      <c r="E663" s="16" t="s">
        <v>75</v>
      </c>
      <c r="F663" s="16" t="s">
        <v>86</v>
      </c>
      <c r="G663" s="8" t="s">
        <v>103</v>
      </c>
      <c r="H663" s="8" t="s">
        <v>125</v>
      </c>
      <c r="I663" s="16" t="s">
        <v>296</v>
      </c>
      <c r="J663" s="16">
        <v>17.049956025377</v>
      </c>
      <c r="K663" s="16">
        <v>-96.707241743207007</v>
      </c>
      <c r="L663" s="16" t="str">
        <f>HYPERLINK("https://maps.google.com/?q=17.049956025377,-96.707241743207", "🔗 Ver Mapa")</f>
        <v>🔗 Ver Mapa</v>
      </c>
    </row>
    <row r="664" spans="1:12" ht="43.5" x14ac:dyDescent="0.35">
      <c r="A664" s="6" t="s">
        <v>291</v>
      </c>
      <c r="B664" s="6" t="s">
        <v>292</v>
      </c>
      <c r="C664" s="6" t="s">
        <v>377</v>
      </c>
      <c r="D664" s="11" t="s">
        <v>294</v>
      </c>
      <c r="E664" s="17" t="s">
        <v>75</v>
      </c>
      <c r="F664" s="17" t="s">
        <v>86</v>
      </c>
      <c r="G664" s="11" t="s">
        <v>103</v>
      </c>
      <c r="H664" s="11" t="s">
        <v>125</v>
      </c>
      <c r="I664" s="17" t="s">
        <v>296</v>
      </c>
      <c r="J664" s="17">
        <v>17.050034700000001</v>
      </c>
      <c r="K664" s="17">
        <v>-96.706914900000001</v>
      </c>
      <c r="L664" s="17" t="str">
        <f>HYPERLINK("https://maps.google.com/?q=17.0500347,-96.7069149", "🔗 Ver Mapa")</f>
        <v>🔗 Ver Mapa</v>
      </c>
    </row>
    <row r="665" spans="1:12" ht="43.5" x14ac:dyDescent="0.35">
      <c r="A665" s="5" t="s">
        <v>291</v>
      </c>
      <c r="B665" s="5" t="s">
        <v>292</v>
      </c>
      <c r="C665" s="5" t="s">
        <v>377</v>
      </c>
      <c r="D665" s="8" t="s">
        <v>294</v>
      </c>
      <c r="E665" s="16" t="s">
        <v>75</v>
      </c>
      <c r="F665" s="16" t="s">
        <v>86</v>
      </c>
      <c r="G665" s="8" t="s">
        <v>103</v>
      </c>
      <c r="H665" s="8" t="s">
        <v>125</v>
      </c>
      <c r="I665" s="16" t="s">
        <v>296</v>
      </c>
      <c r="J665" s="16">
        <v>17.050101900000001</v>
      </c>
      <c r="K665" s="16">
        <v>-96.707212400000003</v>
      </c>
      <c r="L665" s="16" t="str">
        <f>HYPERLINK("https://maps.google.com/?q=17.0501019,-96.7072124", "🔗 Ver Mapa")</f>
        <v>🔗 Ver Mapa</v>
      </c>
    </row>
    <row r="666" spans="1:12" ht="43.5" x14ac:dyDescent="0.35">
      <c r="A666" s="6" t="s">
        <v>291</v>
      </c>
      <c r="B666" s="6" t="s">
        <v>292</v>
      </c>
      <c r="C666" s="6" t="s">
        <v>377</v>
      </c>
      <c r="D666" s="11" t="s">
        <v>294</v>
      </c>
      <c r="E666" s="17" t="s">
        <v>75</v>
      </c>
      <c r="F666" s="17" t="s">
        <v>86</v>
      </c>
      <c r="G666" s="11" t="s">
        <v>103</v>
      </c>
      <c r="H666" s="11" t="s">
        <v>125</v>
      </c>
      <c r="I666" s="17" t="s">
        <v>296</v>
      </c>
      <c r="J666" s="17">
        <v>17.050131458134</v>
      </c>
      <c r="K666" s="17">
        <v>-96.713687884417993</v>
      </c>
      <c r="L666" s="17" t="str">
        <f>HYPERLINK("https://maps.google.com/?q=17.050131458134,-96.713687884418", "🔗 Ver Mapa")</f>
        <v>🔗 Ver Mapa</v>
      </c>
    </row>
    <row r="667" spans="1:12" ht="43.5" x14ac:dyDescent="0.35">
      <c r="A667" s="5" t="s">
        <v>291</v>
      </c>
      <c r="B667" s="5" t="s">
        <v>292</v>
      </c>
      <c r="C667" s="5" t="s">
        <v>377</v>
      </c>
      <c r="D667" s="8" t="s">
        <v>294</v>
      </c>
      <c r="E667" s="16" t="s">
        <v>75</v>
      </c>
      <c r="F667" s="16" t="s">
        <v>86</v>
      </c>
      <c r="G667" s="8" t="s">
        <v>103</v>
      </c>
      <c r="H667" s="8" t="s">
        <v>125</v>
      </c>
      <c r="I667" s="16" t="s">
        <v>296</v>
      </c>
      <c r="J667" s="16">
        <v>17.050140233488001</v>
      </c>
      <c r="K667" s="16">
        <v>-96.708245439053002</v>
      </c>
      <c r="L667" s="16" t="str">
        <f>HYPERLINK("https://maps.google.com/?q=17.050140233488,-96.708245439053", "🔗 Ver Mapa")</f>
        <v>🔗 Ver Mapa</v>
      </c>
    </row>
    <row r="668" spans="1:12" ht="43.5" x14ac:dyDescent="0.35">
      <c r="A668" s="6" t="s">
        <v>291</v>
      </c>
      <c r="B668" s="6" t="s">
        <v>292</v>
      </c>
      <c r="C668" s="6" t="s">
        <v>377</v>
      </c>
      <c r="D668" s="11" t="s">
        <v>294</v>
      </c>
      <c r="E668" s="17" t="s">
        <v>75</v>
      </c>
      <c r="F668" s="17" t="s">
        <v>86</v>
      </c>
      <c r="G668" s="11" t="s">
        <v>103</v>
      </c>
      <c r="H668" s="11" t="s">
        <v>125</v>
      </c>
      <c r="I668" s="17" t="s">
        <v>296</v>
      </c>
      <c r="J668" s="17">
        <v>17.050228799999999</v>
      </c>
      <c r="K668" s="17">
        <v>-96.707170300000001</v>
      </c>
      <c r="L668" s="17" t="str">
        <f>HYPERLINK("https://maps.google.com/?q=17.0502288,-96.7071703", "🔗 Ver Mapa")</f>
        <v>🔗 Ver Mapa</v>
      </c>
    </row>
    <row r="669" spans="1:12" ht="43.5" x14ac:dyDescent="0.35">
      <c r="A669" s="5" t="s">
        <v>291</v>
      </c>
      <c r="B669" s="5" t="s">
        <v>292</v>
      </c>
      <c r="C669" s="5" t="s">
        <v>377</v>
      </c>
      <c r="D669" s="8" t="s">
        <v>294</v>
      </c>
      <c r="E669" s="16" t="s">
        <v>75</v>
      </c>
      <c r="F669" s="16" t="s">
        <v>86</v>
      </c>
      <c r="G669" s="8" t="s">
        <v>103</v>
      </c>
      <c r="H669" s="8" t="s">
        <v>125</v>
      </c>
      <c r="I669" s="16" t="s">
        <v>296</v>
      </c>
      <c r="J669" s="16">
        <v>17.050230031670999</v>
      </c>
      <c r="K669" s="16">
        <v>-96.727054437801002</v>
      </c>
      <c r="L669" s="16" t="str">
        <f>HYPERLINK("https://maps.google.com/?q=17.050230031671,-96.727054437801", "🔗 Ver Mapa")</f>
        <v>🔗 Ver Mapa</v>
      </c>
    </row>
    <row r="670" spans="1:12" ht="43.5" x14ac:dyDescent="0.35">
      <c r="A670" s="6" t="s">
        <v>291</v>
      </c>
      <c r="B670" s="6" t="s">
        <v>292</v>
      </c>
      <c r="C670" s="6" t="s">
        <v>377</v>
      </c>
      <c r="D670" s="11" t="s">
        <v>294</v>
      </c>
      <c r="E670" s="17" t="s">
        <v>75</v>
      </c>
      <c r="F670" s="17" t="s">
        <v>86</v>
      </c>
      <c r="G670" s="11" t="s">
        <v>103</v>
      </c>
      <c r="H670" s="11" t="s">
        <v>125</v>
      </c>
      <c r="I670" s="17" t="s">
        <v>296</v>
      </c>
      <c r="J670" s="17">
        <v>17.050273714429999</v>
      </c>
      <c r="K670" s="17">
        <v>-96.735701144044</v>
      </c>
      <c r="L670" s="17" t="str">
        <f>HYPERLINK("https://maps.google.com/?q=17.05027371443,-96.735701144044", "🔗 Ver Mapa")</f>
        <v>🔗 Ver Mapa</v>
      </c>
    </row>
    <row r="671" spans="1:12" ht="43.5" x14ac:dyDescent="0.35">
      <c r="A671" s="5" t="s">
        <v>291</v>
      </c>
      <c r="B671" s="5" t="s">
        <v>292</v>
      </c>
      <c r="C671" s="5" t="s">
        <v>377</v>
      </c>
      <c r="D671" s="8" t="s">
        <v>294</v>
      </c>
      <c r="E671" s="16" t="s">
        <v>75</v>
      </c>
      <c r="F671" s="16" t="s">
        <v>86</v>
      </c>
      <c r="G671" s="8" t="s">
        <v>103</v>
      </c>
      <c r="H671" s="8" t="s">
        <v>125</v>
      </c>
      <c r="I671" s="16" t="s">
        <v>296</v>
      </c>
      <c r="J671" s="16">
        <v>17.050293400000001</v>
      </c>
      <c r="K671" s="16">
        <v>-96.7075557</v>
      </c>
      <c r="L671" s="16" t="str">
        <f>HYPERLINK("https://maps.google.com/?q=17.0502934,-96.7075557", "🔗 Ver Mapa")</f>
        <v>🔗 Ver Mapa</v>
      </c>
    </row>
    <row r="672" spans="1:12" ht="43.5" x14ac:dyDescent="0.35">
      <c r="A672" s="6" t="s">
        <v>291</v>
      </c>
      <c r="B672" s="6" t="s">
        <v>292</v>
      </c>
      <c r="C672" s="6" t="s">
        <v>377</v>
      </c>
      <c r="D672" s="11" t="s">
        <v>294</v>
      </c>
      <c r="E672" s="17" t="s">
        <v>75</v>
      </c>
      <c r="F672" s="17" t="s">
        <v>86</v>
      </c>
      <c r="G672" s="11" t="s">
        <v>103</v>
      </c>
      <c r="H672" s="11" t="s">
        <v>125</v>
      </c>
      <c r="I672" s="17" t="s">
        <v>296</v>
      </c>
      <c r="J672" s="17">
        <v>17.050493700000001</v>
      </c>
      <c r="K672" s="17">
        <v>-96.707930300000001</v>
      </c>
      <c r="L672" s="17" t="str">
        <f>HYPERLINK("https://maps.google.com/?q=17.0504937,-96.7079303", "🔗 Ver Mapa")</f>
        <v>🔗 Ver Mapa</v>
      </c>
    </row>
    <row r="673" spans="1:12" ht="43.5" x14ac:dyDescent="0.35">
      <c r="A673" s="5" t="s">
        <v>291</v>
      </c>
      <c r="B673" s="5" t="s">
        <v>292</v>
      </c>
      <c r="C673" s="5" t="s">
        <v>377</v>
      </c>
      <c r="D673" s="8" t="s">
        <v>294</v>
      </c>
      <c r="E673" s="16" t="s">
        <v>75</v>
      </c>
      <c r="F673" s="16" t="s">
        <v>86</v>
      </c>
      <c r="G673" s="8" t="s">
        <v>103</v>
      </c>
      <c r="H673" s="8" t="s">
        <v>125</v>
      </c>
      <c r="I673" s="16" t="s">
        <v>296</v>
      </c>
      <c r="J673" s="16">
        <v>17.050531299999999</v>
      </c>
      <c r="K673" s="16">
        <v>-96.708173700000003</v>
      </c>
      <c r="L673" s="16" t="str">
        <f>HYPERLINK("https://maps.google.com/?q=17.0505313,-96.7081737", "🔗 Ver Mapa")</f>
        <v>🔗 Ver Mapa</v>
      </c>
    </row>
    <row r="674" spans="1:12" ht="43.5" x14ac:dyDescent="0.35">
      <c r="A674" s="6" t="s">
        <v>291</v>
      </c>
      <c r="B674" s="6" t="s">
        <v>292</v>
      </c>
      <c r="C674" s="6" t="s">
        <v>377</v>
      </c>
      <c r="D674" s="11" t="s">
        <v>294</v>
      </c>
      <c r="E674" s="17" t="s">
        <v>75</v>
      </c>
      <c r="F674" s="17" t="s">
        <v>86</v>
      </c>
      <c r="G674" s="11" t="s">
        <v>103</v>
      </c>
      <c r="H674" s="11" t="s">
        <v>125</v>
      </c>
      <c r="I674" s="17" t="s">
        <v>296</v>
      </c>
      <c r="J674" s="17">
        <v>17.050634359282</v>
      </c>
      <c r="K674" s="17">
        <v>-96.727677185588007</v>
      </c>
      <c r="L674" s="17" t="str">
        <f>HYPERLINK("https://maps.google.com/?q=17.050634359282,-96.727677185588", "🔗 Ver Mapa")</f>
        <v>🔗 Ver Mapa</v>
      </c>
    </row>
    <row r="675" spans="1:12" ht="43.5" x14ac:dyDescent="0.35">
      <c r="A675" s="5" t="s">
        <v>291</v>
      </c>
      <c r="B675" s="5" t="s">
        <v>292</v>
      </c>
      <c r="C675" s="5" t="s">
        <v>377</v>
      </c>
      <c r="D675" s="8" t="s">
        <v>294</v>
      </c>
      <c r="E675" s="16" t="s">
        <v>75</v>
      </c>
      <c r="F675" s="16" t="s">
        <v>86</v>
      </c>
      <c r="G675" s="8" t="s">
        <v>103</v>
      </c>
      <c r="H675" s="8" t="s">
        <v>125</v>
      </c>
      <c r="I675" s="16" t="s">
        <v>296</v>
      </c>
      <c r="J675" s="16">
        <v>17.050641449206999</v>
      </c>
      <c r="K675" s="16">
        <v>-96.716626842937998</v>
      </c>
      <c r="L675" s="16" t="str">
        <f>HYPERLINK("https://maps.google.com/?q=17.050641449207,-96.716626842938", "🔗 Ver Mapa")</f>
        <v>🔗 Ver Mapa</v>
      </c>
    </row>
    <row r="676" spans="1:12" ht="43.5" x14ac:dyDescent="0.35">
      <c r="A676" s="6" t="s">
        <v>291</v>
      </c>
      <c r="B676" s="6" t="s">
        <v>292</v>
      </c>
      <c r="C676" s="6" t="s">
        <v>377</v>
      </c>
      <c r="D676" s="11" t="s">
        <v>294</v>
      </c>
      <c r="E676" s="17" t="s">
        <v>75</v>
      </c>
      <c r="F676" s="17" t="s">
        <v>86</v>
      </c>
      <c r="G676" s="11" t="s">
        <v>103</v>
      </c>
      <c r="H676" s="11" t="s">
        <v>125</v>
      </c>
      <c r="I676" s="17" t="s">
        <v>296</v>
      </c>
      <c r="J676" s="17">
        <v>17.050643823323</v>
      </c>
      <c r="K676" s="17">
        <v>-96.716612828443999</v>
      </c>
      <c r="L676" s="17" t="str">
        <f>HYPERLINK("https://maps.google.com/?q=17.050643823323,-96.716612828444", "🔗 Ver Mapa")</f>
        <v>🔗 Ver Mapa</v>
      </c>
    </row>
    <row r="677" spans="1:12" ht="43.5" x14ac:dyDescent="0.35">
      <c r="A677" s="5" t="s">
        <v>291</v>
      </c>
      <c r="B677" s="5" t="s">
        <v>292</v>
      </c>
      <c r="C677" s="5" t="s">
        <v>377</v>
      </c>
      <c r="D677" s="8" t="s">
        <v>294</v>
      </c>
      <c r="E677" s="16" t="s">
        <v>75</v>
      </c>
      <c r="F677" s="16" t="s">
        <v>86</v>
      </c>
      <c r="G677" s="8" t="s">
        <v>103</v>
      </c>
      <c r="H677" s="8" t="s">
        <v>125</v>
      </c>
      <c r="I677" s="16" t="s">
        <v>296</v>
      </c>
      <c r="J677" s="16">
        <v>17.050645565271001</v>
      </c>
      <c r="K677" s="16">
        <v>-96.716571087331005</v>
      </c>
      <c r="L677" s="16" t="str">
        <f>HYPERLINK("https://maps.google.com/?q=17.050645565271,-96.716571087331", "🔗 Ver Mapa")</f>
        <v>🔗 Ver Mapa</v>
      </c>
    </row>
    <row r="678" spans="1:12" ht="43.5" x14ac:dyDescent="0.35">
      <c r="A678" s="6" t="s">
        <v>291</v>
      </c>
      <c r="B678" s="6" t="s">
        <v>292</v>
      </c>
      <c r="C678" s="6" t="s">
        <v>377</v>
      </c>
      <c r="D678" s="11" t="s">
        <v>294</v>
      </c>
      <c r="E678" s="17" t="s">
        <v>75</v>
      </c>
      <c r="F678" s="17" t="s">
        <v>86</v>
      </c>
      <c r="G678" s="11" t="s">
        <v>103</v>
      </c>
      <c r="H678" s="11" t="s">
        <v>125</v>
      </c>
      <c r="I678" s="17" t="s">
        <v>296</v>
      </c>
      <c r="J678" s="17">
        <v>17.05067534937</v>
      </c>
      <c r="K678" s="17">
        <v>-96.726911239960998</v>
      </c>
      <c r="L678" s="17" t="str">
        <f>HYPERLINK("https://maps.google.com/?q=17.05067534937,-96.726911239961", "🔗 Ver Mapa")</f>
        <v>🔗 Ver Mapa</v>
      </c>
    </row>
    <row r="679" spans="1:12" ht="43.5" x14ac:dyDescent="0.35">
      <c r="A679" s="5" t="s">
        <v>291</v>
      </c>
      <c r="B679" s="5" t="s">
        <v>292</v>
      </c>
      <c r="C679" s="5" t="s">
        <v>377</v>
      </c>
      <c r="D679" s="8" t="s">
        <v>294</v>
      </c>
      <c r="E679" s="16" t="s">
        <v>75</v>
      </c>
      <c r="F679" s="16" t="s">
        <v>86</v>
      </c>
      <c r="G679" s="8" t="s">
        <v>103</v>
      </c>
      <c r="H679" s="8" t="s">
        <v>125</v>
      </c>
      <c r="I679" s="16" t="s">
        <v>296</v>
      </c>
      <c r="J679" s="16">
        <v>17.050707509472002</v>
      </c>
      <c r="K679" s="16">
        <v>-96.726253235193994</v>
      </c>
      <c r="L679" s="16" t="str">
        <f>HYPERLINK("https://maps.google.com/?q=17.050707509472,-96.726253235194", "🔗 Ver Mapa")</f>
        <v>🔗 Ver Mapa</v>
      </c>
    </row>
    <row r="680" spans="1:12" ht="43.5" x14ac:dyDescent="0.35">
      <c r="A680" s="6" t="s">
        <v>291</v>
      </c>
      <c r="B680" s="6" t="s">
        <v>292</v>
      </c>
      <c r="C680" s="6" t="s">
        <v>377</v>
      </c>
      <c r="D680" s="11" t="s">
        <v>294</v>
      </c>
      <c r="E680" s="17" t="s">
        <v>75</v>
      </c>
      <c r="F680" s="17" t="s">
        <v>86</v>
      </c>
      <c r="G680" s="11" t="s">
        <v>103</v>
      </c>
      <c r="H680" s="11" t="s">
        <v>125</v>
      </c>
      <c r="I680" s="17" t="s">
        <v>296</v>
      </c>
      <c r="J680" s="17">
        <v>17.050724925807</v>
      </c>
      <c r="K680" s="17">
        <v>-96.715395042791997</v>
      </c>
      <c r="L680" s="17" t="str">
        <f>HYPERLINK("https://maps.google.com/?q=17.050724925807,-96.715395042792", "🔗 Ver Mapa")</f>
        <v>🔗 Ver Mapa</v>
      </c>
    </row>
    <row r="681" spans="1:12" ht="43.5" x14ac:dyDescent="0.35">
      <c r="A681" s="5" t="s">
        <v>291</v>
      </c>
      <c r="B681" s="5" t="s">
        <v>292</v>
      </c>
      <c r="C681" s="5" t="s">
        <v>377</v>
      </c>
      <c r="D681" s="8" t="s">
        <v>294</v>
      </c>
      <c r="E681" s="16" t="s">
        <v>75</v>
      </c>
      <c r="F681" s="16" t="s">
        <v>86</v>
      </c>
      <c r="G681" s="8" t="s">
        <v>103</v>
      </c>
      <c r="H681" s="8" t="s">
        <v>125</v>
      </c>
      <c r="I681" s="16" t="s">
        <v>296</v>
      </c>
      <c r="J681" s="16">
        <v>17.050748622570001</v>
      </c>
      <c r="K681" s="16">
        <v>-96.728122216100999</v>
      </c>
      <c r="L681" s="16" t="str">
        <f>HYPERLINK("https://maps.google.com/?q=17.05074862257,-96.728122216101", "🔗 Ver Mapa")</f>
        <v>🔗 Ver Mapa</v>
      </c>
    </row>
    <row r="682" spans="1:12" ht="43.5" x14ac:dyDescent="0.35">
      <c r="A682" s="6" t="s">
        <v>291</v>
      </c>
      <c r="B682" s="6" t="s">
        <v>292</v>
      </c>
      <c r="C682" s="6" t="s">
        <v>377</v>
      </c>
      <c r="D682" s="11" t="s">
        <v>294</v>
      </c>
      <c r="E682" s="17" t="s">
        <v>75</v>
      </c>
      <c r="F682" s="17" t="s">
        <v>86</v>
      </c>
      <c r="G682" s="11" t="s">
        <v>103</v>
      </c>
      <c r="H682" s="11" t="s">
        <v>125</v>
      </c>
      <c r="I682" s="17" t="s">
        <v>296</v>
      </c>
      <c r="J682" s="17">
        <v>17.050813900000001</v>
      </c>
      <c r="K682" s="17">
        <v>-96.707111999999995</v>
      </c>
      <c r="L682" s="17" t="str">
        <f>HYPERLINK("https://maps.google.com/?q=17.0508139,-96.707112", "🔗 Ver Mapa")</f>
        <v>🔗 Ver Mapa</v>
      </c>
    </row>
    <row r="683" spans="1:12" ht="43.5" x14ac:dyDescent="0.35">
      <c r="A683" s="5" t="s">
        <v>291</v>
      </c>
      <c r="B683" s="5" t="s">
        <v>292</v>
      </c>
      <c r="C683" s="5" t="s">
        <v>377</v>
      </c>
      <c r="D683" s="8" t="s">
        <v>294</v>
      </c>
      <c r="E683" s="16" t="s">
        <v>75</v>
      </c>
      <c r="F683" s="16" t="s">
        <v>86</v>
      </c>
      <c r="G683" s="8" t="s">
        <v>103</v>
      </c>
      <c r="H683" s="8" t="s">
        <v>125</v>
      </c>
      <c r="I683" s="16" t="s">
        <v>296</v>
      </c>
      <c r="J683" s="16">
        <v>17.050889656820999</v>
      </c>
      <c r="K683" s="16">
        <v>-96.708125105484996</v>
      </c>
      <c r="L683" s="16" t="str">
        <f>HYPERLINK("https://maps.google.com/?q=17.050889656821,-96.708125105485", "🔗 Ver Mapa")</f>
        <v>🔗 Ver Mapa</v>
      </c>
    </row>
    <row r="684" spans="1:12" ht="43.5" x14ac:dyDescent="0.35">
      <c r="A684" s="6" t="s">
        <v>291</v>
      </c>
      <c r="B684" s="6" t="s">
        <v>292</v>
      </c>
      <c r="C684" s="6" t="s">
        <v>377</v>
      </c>
      <c r="D684" s="11" t="s">
        <v>294</v>
      </c>
      <c r="E684" s="17" t="s">
        <v>75</v>
      </c>
      <c r="F684" s="17" t="s">
        <v>86</v>
      </c>
      <c r="G684" s="11" t="s">
        <v>103</v>
      </c>
      <c r="H684" s="11" t="s">
        <v>125</v>
      </c>
      <c r="I684" s="17" t="s">
        <v>296</v>
      </c>
      <c r="J684" s="17">
        <v>17.050906000000001</v>
      </c>
      <c r="K684" s="17">
        <v>-96.706819999999993</v>
      </c>
      <c r="L684" s="17" t="str">
        <f>HYPERLINK("https://maps.google.com/?q=17.050906,-96.70682", "🔗 Ver Mapa")</f>
        <v>🔗 Ver Mapa</v>
      </c>
    </row>
    <row r="685" spans="1:12" ht="43.5" x14ac:dyDescent="0.35">
      <c r="A685" s="5" t="s">
        <v>291</v>
      </c>
      <c r="B685" s="5" t="s">
        <v>292</v>
      </c>
      <c r="C685" s="5" t="s">
        <v>377</v>
      </c>
      <c r="D685" s="8" t="s">
        <v>294</v>
      </c>
      <c r="E685" s="16" t="s">
        <v>75</v>
      </c>
      <c r="F685" s="16" t="s">
        <v>86</v>
      </c>
      <c r="G685" s="8" t="s">
        <v>103</v>
      </c>
      <c r="H685" s="8" t="s">
        <v>125</v>
      </c>
      <c r="I685" s="16" t="s">
        <v>296</v>
      </c>
      <c r="J685" s="16">
        <v>17.0509418</v>
      </c>
      <c r="K685" s="16">
        <v>-96.707965099999996</v>
      </c>
      <c r="L685" s="16" t="str">
        <f>HYPERLINK("https://maps.google.com/?q=17.0509418,-96.7079651", "🔗 Ver Mapa")</f>
        <v>🔗 Ver Mapa</v>
      </c>
    </row>
    <row r="686" spans="1:12" ht="43.5" x14ac:dyDescent="0.35">
      <c r="A686" s="6" t="s">
        <v>291</v>
      </c>
      <c r="B686" s="6" t="s">
        <v>292</v>
      </c>
      <c r="C686" s="6" t="s">
        <v>377</v>
      </c>
      <c r="D686" s="11" t="s">
        <v>294</v>
      </c>
      <c r="E686" s="17" t="s">
        <v>75</v>
      </c>
      <c r="F686" s="17" t="s">
        <v>86</v>
      </c>
      <c r="G686" s="11" t="s">
        <v>103</v>
      </c>
      <c r="H686" s="11" t="s">
        <v>125</v>
      </c>
      <c r="I686" s="17" t="s">
        <v>296</v>
      </c>
      <c r="J686" s="17">
        <v>17.050957400000001</v>
      </c>
      <c r="K686" s="17">
        <v>-96.707076599999994</v>
      </c>
      <c r="L686" s="17" t="str">
        <f>HYPERLINK("https://maps.google.com/?q=17.0509574,-96.7070766", "🔗 Ver Mapa")</f>
        <v>🔗 Ver Mapa</v>
      </c>
    </row>
    <row r="687" spans="1:12" ht="43.5" x14ac:dyDescent="0.35">
      <c r="A687" s="5" t="s">
        <v>291</v>
      </c>
      <c r="B687" s="5" t="s">
        <v>292</v>
      </c>
      <c r="C687" s="5" t="s">
        <v>377</v>
      </c>
      <c r="D687" s="8" t="s">
        <v>294</v>
      </c>
      <c r="E687" s="16" t="s">
        <v>75</v>
      </c>
      <c r="F687" s="16" t="s">
        <v>86</v>
      </c>
      <c r="G687" s="8" t="s">
        <v>103</v>
      </c>
      <c r="H687" s="8" t="s">
        <v>125</v>
      </c>
      <c r="I687" s="16" t="s">
        <v>296</v>
      </c>
      <c r="J687" s="16">
        <v>17.050979307235</v>
      </c>
      <c r="K687" s="16">
        <v>-96.725308750634994</v>
      </c>
      <c r="L687" s="16" t="str">
        <f>HYPERLINK("https://maps.google.com/?q=17.050979307235,-96.725308750635", "🔗 Ver Mapa")</f>
        <v>🔗 Ver Mapa</v>
      </c>
    </row>
    <row r="688" spans="1:12" ht="43.5" x14ac:dyDescent="0.35">
      <c r="A688" s="6" t="s">
        <v>291</v>
      </c>
      <c r="B688" s="6" t="s">
        <v>292</v>
      </c>
      <c r="C688" s="6" t="s">
        <v>377</v>
      </c>
      <c r="D688" s="11" t="s">
        <v>294</v>
      </c>
      <c r="E688" s="17" t="s">
        <v>75</v>
      </c>
      <c r="F688" s="17" t="s">
        <v>86</v>
      </c>
      <c r="G688" s="11" t="s">
        <v>103</v>
      </c>
      <c r="H688" s="11" t="s">
        <v>125</v>
      </c>
      <c r="I688" s="17" t="s">
        <v>296</v>
      </c>
      <c r="J688" s="17">
        <v>17.050996077057</v>
      </c>
      <c r="K688" s="17">
        <v>-96.726397847515997</v>
      </c>
      <c r="L688" s="17" t="str">
        <f>HYPERLINK("https://maps.google.com/?q=17.050996077057,-96.726397847516", "🔗 Ver Mapa")</f>
        <v>🔗 Ver Mapa</v>
      </c>
    </row>
    <row r="689" spans="1:12" ht="43.5" x14ac:dyDescent="0.35">
      <c r="A689" s="5" t="s">
        <v>291</v>
      </c>
      <c r="B689" s="5" t="s">
        <v>292</v>
      </c>
      <c r="C689" s="5" t="s">
        <v>377</v>
      </c>
      <c r="D689" s="8" t="s">
        <v>294</v>
      </c>
      <c r="E689" s="16" t="s">
        <v>75</v>
      </c>
      <c r="F689" s="16" t="s">
        <v>86</v>
      </c>
      <c r="G689" s="8" t="s">
        <v>103</v>
      </c>
      <c r="H689" s="8" t="s">
        <v>125</v>
      </c>
      <c r="I689" s="16" t="s">
        <v>296</v>
      </c>
      <c r="J689" s="16">
        <v>17.051088360042002</v>
      </c>
      <c r="K689" s="16">
        <v>-96.725619891232995</v>
      </c>
      <c r="L689" s="16" t="str">
        <f>HYPERLINK("https://maps.google.com/?q=17.051088360042,-96.725619891233", "🔗 Ver Mapa")</f>
        <v>🔗 Ver Mapa</v>
      </c>
    </row>
    <row r="690" spans="1:12" ht="43.5" x14ac:dyDescent="0.35">
      <c r="A690" s="6" t="s">
        <v>291</v>
      </c>
      <c r="B690" s="6" t="s">
        <v>292</v>
      </c>
      <c r="C690" s="6" t="s">
        <v>377</v>
      </c>
      <c r="D690" s="11" t="s">
        <v>294</v>
      </c>
      <c r="E690" s="17" t="s">
        <v>75</v>
      </c>
      <c r="F690" s="17" t="s">
        <v>86</v>
      </c>
      <c r="G690" s="11" t="s">
        <v>103</v>
      </c>
      <c r="H690" s="11" t="s">
        <v>125</v>
      </c>
      <c r="I690" s="17" t="s">
        <v>296</v>
      </c>
      <c r="J690" s="17">
        <v>17.051113240945</v>
      </c>
      <c r="K690" s="17">
        <v>-96.725893419789998</v>
      </c>
      <c r="L690" s="17" t="str">
        <f>HYPERLINK("https://maps.google.com/?q=17.051113240945,-96.72589341979", "🔗 Ver Mapa")</f>
        <v>🔗 Ver Mapa</v>
      </c>
    </row>
    <row r="691" spans="1:12" ht="43.5" x14ac:dyDescent="0.35">
      <c r="A691" s="5" t="s">
        <v>291</v>
      </c>
      <c r="B691" s="5" t="s">
        <v>292</v>
      </c>
      <c r="C691" s="5" t="s">
        <v>377</v>
      </c>
      <c r="D691" s="8" t="s">
        <v>294</v>
      </c>
      <c r="E691" s="16" t="s">
        <v>75</v>
      </c>
      <c r="F691" s="16" t="s">
        <v>86</v>
      </c>
      <c r="G691" s="8" t="s">
        <v>103</v>
      </c>
      <c r="H691" s="8" t="s">
        <v>125</v>
      </c>
      <c r="I691" s="16" t="s">
        <v>296</v>
      </c>
      <c r="J691" s="16">
        <v>17.05115660245</v>
      </c>
      <c r="K691" s="16">
        <v>-96.724508473178005</v>
      </c>
      <c r="L691" s="16" t="str">
        <f>HYPERLINK("https://maps.google.com/?q=17.05115660245,-96.724508473178", "🔗 Ver Mapa")</f>
        <v>🔗 Ver Mapa</v>
      </c>
    </row>
    <row r="692" spans="1:12" ht="43.5" x14ac:dyDescent="0.35">
      <c r="A692" s="6" t="s">
        <v>291</v>
      </c>
      <c r="B692" s="6" t="s">
        <v>292</v>
      </c>
      <c r="C692" s="6" t="s">
        <v>377</v>
      </c>
      <c r="D692" s="11" t="s">
        <v>294</v>
      </c>
      <c r="E692" s="17" t="s">
        <v>75</v>
      </c>
      <c r="F692" s="17" t="s">
        <v>86</v>
      </c>
      <c r="G692" s="11" t="s">
        <v>103</v>
      </c>
      <c r="H692" s="11" t="s">
        <v>125</v>
      </c>
      <c r="I692" s="17" t="s">
        <v>296</v>
      </c>
      <c r="J692" s="17">
        <v>17.051332490086999</v>
      </c>
      <c r="K692" s="17">
        <v>-96.715342271422003</v>
      </c>
      <c r="L692" s="17" t="str">
        <f>HYPERLINK("https://maps.google.com/?q=17.051332490087,-96.715342271422", "🔗 Ver Mapa")</f>
        <v>🔗 Ver Mapa</v>
      </c>
    </row>
    <row r="693" spans="1:12" ht="43.5" x14ac:dyDescent="0.35">
      <c r="A693" s="5" t="s">
        <v>291</v>
      </c>
      <c r="B693" s="5" t="s">
        <v>292</v>
      </c>
      <c r="C693" s="5" t="s">
        <v>377</v>
      </c>
      <c r="D693" s="8" t="s">
        <v>294</v>
      </c>
      <c r="E693" s="16" t="s">
        <v>75</v>
      </c>
      <c r="F693" s="16" t="s">
        <v>86</v>
      </c>
      <c r="G693" s="8" t="s">
        <v>103</v>
      </c>
      <c r="H693" s="8" t="s">
        <v>125</v>
      </c>
      <c r="I693" s="16" t="s">
        <v>296</v>
      </c>
      <c r="J693" s="16">
        <v>17.051388182023999</v>
      </c>
      <c r="K693" s="16">
        <v>-96.724387577689996</v>
      </c>
      <c r="L693" s="16" t="str">
        <f>HYPERLINK("https://maps.google.com/?q=17.051388182024,-96.72438757769", "🔗 Ver Mapa")</f>
        <v>🔗 Ver Mapa</v>
      </c>
    </row>
    <row r="694" spans="1:12" ht="43.5" x14ac:dyDescent="0.35">
      <c r="A694" s="6" t="s">
        <v>291</v>
      </c>
      <c r="B694" s="6" t="s">
        <v>292</v>
      </c>
      <c r="C694" s="6" t="s">
        <v>377</v>
      </c>
      <c r="D694" s="11" t="s">
        <v>294</v>
      </c>
      <c r="E694" s="17" t="s">
        <v>75</v>
      </c>
      <c r="F694" s="17" t="s">
        <v>86</v>
      </c>
      <c r="G694" s="11" t="s">
        <v>103</v>
      </c>
      <c r="H694" s="11" t="s">
        <v>125</v>
      </c>
      <c r="I694" s="17" t="s">
        <v>296</v>
      </c>
      <c r="J694" s="17">
        <v>17.051399618261001</v>
      </c>
      <c r="K694" s="17">
        <v>-96.735348648894004</v>
      </c>
      <c r="L694" s="17" t="str">
        <f>HYPERLINK("https://maps.google.com/?q=17.051399618261,-96.735348648894", "🔗 Ver Mapa")</f>
        <v>🔗 Ver Mapa</v>
      </c>
    </row>
    <row r="695" spans="1:12" ht="43.5" x14ac:dyDescent="0.35">
      <c r="A695" s="5" t="s">
        <v>291</v>
      </c>
      <c r="B695" s="5" t="s">
        <v>292</v>
      </c>
      <c r="C695" s="5" t="s">
        <v>377</v>
      </c>
      <c r="D695" s="8" t="s">
        <v>294</v>
      </c>
      <c r="E695" s="16" t="s">
        <v>75</v>
      </c>
      <c r="F695" s="16" t="s">
        <v>86</v>
      </c>
      <c r="G695" s="8" t="s">
        <v>103</v>
      </c>
      <c r="H695" s="8" t="s">
        <v>125</v>
      </c>
      <c r="I695" s="16" t="s">
        <v>296</v>
      </c>
      <c r="J695" s="16">
        <v>17.051402848447999</v>
      </c>
      <c r="K695" s="16">
        <v>-96.724401416815994</v>
      </c>
      <c r="L695" s="16" t="str">
        <f>HYPERLINK("https://maps.google.com/?q=17.051402848448,-96.724401416816", "🔗 Ver Mapa")</f>
        <v>🔗 Ver Mapa</v>
      </c>
    </row>
    <row r="696" spans="1:12" ht="43.5" x14ac:dyDescent="0.35">
      <c r="A696" s="6" t="s">
        <v>291</v>
      </c>
      <c r="B696" s="6" t="s">
        <v>292</v>
      </c>
      <c r="C696" s="6" t="s">
        <v>377</v>
      </c>
      <c r="D696" s="11" t="s">
        <v>294</v>
      </c>
      <c r="E696" s="17" t="s">
        <v>75</v>
      </c>
      <c r="F696" s="17" t="s">
        <v>86</v>
      </c>
      <c r="G696" s="11" t="s">
        <v>103</v>
      </c>
      <c r="H696" s="11" t="s">
        <v>125</v>
      </c>
      <c r="I696" s="17" t="s">
        <v>296</v>
      </c>
      <c r="J696" s="17">
        <v>17.051420150237</v>
      </c>
      <c r="K696" s="17">
        <v>-96.705510681871004</v>
      </c>
      <c r="L696" s="17" t="str">
        <f>HYPERLINK("https://maps.google.com/?q=17.051420150237,-96.705510681871", "🔗 Ver Mapa")</f>
        <v>🔗 Ver Mapa</v>
      </c>
    </row>
    <row r="697" spans="1:12" ht="43.5" x14ac:dyDescent="0.35">
      <c r="A697" s="5" t="s">
        <v>291</v>
      </c>
      <c r="B697" s="5" t="s">
        <v>292</v>
      </c>
      <c r="C697" s="5" t="s">
        <v>377</v>
      </c>
      <c r="D697" s="8" t="s">
        <v>294</v>
      </c>
      <c r="E697" s="16" t="s">
        <v>75</v>
      </c>
      <c r="F697" s="16" t="s">
        <v>86</v>
      </c>
      <c r="G697" s="8" t="s">
        <v>103</v>
      </c>
      <c r="H697" s="8" t="s">
        <v>125</v>
      </c>
      <c r="I697" s="16" t="s">
        <v>296</v>
      </c>
      <c r="J697" s="16">
        <v>17.051474599999999</v>
      </c>
      <c r="K697" s="16">
        <v>-96.706865100000002</v>
      </c>
      <c r="L697" s="16" t="str">
        <f>HYPERLINK("https://maps.google.com/?q=17.0514746,-96.7068651", "🔗 Ver Mapa")</f>
        <v>🔗 Ver Mapa</v>
      </c>
    </row>
    <row r="698" spans="1:12" ht="43.5" x14ac:dyDescent="0.35">
      <c r="A698" s="6" t="s">
        <v>291</v>
      </c>
      <c r="B698" s="6" t="s">
        <v>292</v>
      </c>
      <c r="C698" s="6" t="s">
        <v>377</v>
      </c>
      <c r="D698" s="11" t="s">
        <v>294</v>
      </c>
      <c r="E698" s="17" t="s">
        <v>75</v>
      </c>
      <c r="F698" s="17" t="s">
        <v>86</v>
      </c>
      <c r="G698" s="11" t="s">
        <v>103</v>
      </c>
      <c r="H698" s="11" t="s">
        <v>125</v>
      </c>
      <c r="I698" s="17" t="s">
        <v>296</v>
      </c>
      <c r="J698" s="17">
        <v>17.051550183189001</v>
      </c>
      <c r="K698" s="17">
        <v>-96.716446747435</v>
      </c>
      <c r="L698" s="17" t="str">
        <f>HYPERLINK("https://maps.google.com/?q=17.051550183189,-96.716446747435", "🔗 Ver Mapa")</f>
        <v>🔗 Ver Mapa</v>
      </c>
    </row>
    <row r="699" spans="1:12" ht="43.5" x14ac:dyDescent="0.35">
      <c r="A699" s="5" t="s">
        <v>291</v>
      </c>
      <c r="B699" s="5" t="s">
        <v>292</v>
      </c>
      <c r="C699" s="5" t="s">
        <v>377</v>
      </c>
      <c r="D699" s="8" t="s">
        <v>294</v>
      </c>
      <c r="E699" s="16" t="s">
        <v>75</v>
      </c>
      <c r="F699" s="16" t="s">
        <v>86</v>
      </c>
      <c r="G699" s="8" t="s">
        <v>103</v>
      </c>
      <c r="H699" s="8" t="s">
        <v>125</v>
      </c>
      <c r="I699" s="16" t="s">
        <v>296</v>
      </c>
      <c r="J699" s="16">
        <v>17.051556952085001</v>
      </c>
      <c r="K699" s="16">
        <v>-96.715390506104001</v>
      </c>
      <c r="L699" s="16" t="str">
        <f>HYPERLINK("https://maps.google.com/?q=17.051556952085,-96.715390506104", "🔗 Ver Mapa")</f>
        <v>🔗 Ver Mapa</v>
      </c>
    </row>
    <row r="700" spans="1:12" ht="43.5" x14ac:dyDescent="0.35">
      <c r="A700" s="6" t="s">
        <v>291</v>
      </c>
      <c r="B700" s="6" t="s">
        <v>292</v>
      </c>
      <c r="C700" s="6" t="s">
        <v>377</v>
      </c>
      <c r="D700" s="11" t="s">
        <v>294</v>
      </c>
      <c r="E700" s="17" t="s">
        <v>75</v>
      </c>
      <c r="F700" s="17" t="s">
        <v>86</v>
      </c>
      <c r="G700" s="11" t="s">
        <v>103</v>
      </c>
      <c r="H700" s="11" t="s">
        <v>125</v>
      </c>
      <c r="I700" s="17" t="s">
        <v>296</v>
      </c>
      <c r="J700" s="17">
        <v>17.051563335596001</v>
      </c>
      <c r="K700" s="17">
        <v>-96.706997800663004</v>
      </c>
      <c r="L700" s="17" t="str">
        <f>HYPERLINK("https://maps.google.com/?q=17.051563335596,-96.706997800663", "🔗 Ver Mapa")</f>
        <v>🔗 Ver Mapa</v>
      </c>
    </row>
    <row r="701" spans="1:12" ht="43.5" x14ac:dyDescent="0.35">
      <c r="A701" s="5" t="s">
        <v>291</v>
      </c>
      <c r="B701" s="5" t="s">
        <v>292</v>
      </c>
      <c r="C701" s="5" t="s">
        <v>377</v>
      </c>
      <c r="D701" s="8" t="s">
        <v>294</v>
      </c>
      <c r="E701" s="16" t="s">
        <v>75</v>
      </c>
      <c r="F701" s="16" t="s">
        <v>86</v>
      </c>
      <c r="G701" s="8" t="s">
        <v>103</v>
      </c>
      <c r="H701" s="8" t="s">
        <v>125</v>
      </c>
      <c r="I701" s="16" t="s">
        <v>296</v>
      </c>
      <c r="J701" s="16">
        <v>17.051570973179999</v>
      </c>
      <c r="K701" s="16">
        <v>-96.716483193542999</v>
      </c>
      <c r="L701" s="16" t="str">
        <f>HYPERLINK("https://maps.google.com/?q=17.05157097318,-96.716483193543", "🔗 Ver Mapa")</f>
        <v>🔗 Ver Mapa</v>
      </c>
    </row>
    <row r="702" spans="1:12" ht="43.5" x14ac:dyDescent="0.35">
      <c r="A702" s="6" t="s">
        <v>291</v>
      </c>
      <c r="B702" s="6" t="s">
        <v>292</v>
      </c>
      <c r="C702" s="6" t="s">
        <v>377</v>
      </c>
      <c r="D702" s="11" t="s">
        <v>294</v>
      </c>
      <c r="E702" s="17" t="s">
        <v>75</v>
      </c>
      <c r="F702" s="17" t="s">
        <v>86</v>
      </c>
      <c r="G702" s="11" t="s">
        <v>103</v>
      </c>
      <c r="H702" s="11" t="s">
        <v>125</v>
      </c>
      <c r="I702" s="17" t="s">
        <v>296</v>
      </c>
      <c r="J702" s="17">
        <v>17.051573898154</v>
      </c>
      <c r="K702" s="17">
        <v>-96.723033507474995</v>
      </c>
      <c r="L702" s="17" t="str">
        <f>HYPERLINK("https://maps.google.com/?q=17.051573898154,-96.723033507475", "🔗 Ver Mapa")</f>
        <v>🔗 Ver Mapa</v>
      </c>
    </row>
    <row r="703" spans="1:12" ht="43.5" x14ac:dyDescent="0.35">
      <c r="A703" s="5" t="s">
        <v>291</v>
      </c>
      <c r="B703" s="5" t="s">
        <v>292</v>
      </c>
      <c r="C703" s="5" t="s">
        <v>377</v>
      </c>
      <c r="D703" s="8" t="s">
        <v>294</v>
      </c>
      <c r="E703" s="16" t="s">
        <v>75</v>
      </c>
      <c r="F703" s="16" t="s">
        <v>86</v>
      </c>
      <c r="G703" s="8" t="s">
        <v>103</v>
      </c>
      <c r="H703" s="8" t="s">
        <v>125</v>
      </c>
      <c r="I703" s="16" t="s">
        <v>296</v>
      </c>
      <c r="J703" s="16">
        <v>17.051863399999998</v>
      </c>
      <c r="K703" s="16">
        <v>-96.706818299999995</v>
      </c>
      <c r="L703" s="16" t="str">
        <f>HYPERLINK("https://maps.google.com/?q=17.0518634,-96.7068183", "🔗 Ver Mapa")</f>
        <v>🔗 Ver Mapa</v>
      </c>
    </row>
    <row r="704" spans="1:12" ht="43.5" x14ac:dyDescent="0.35">
      <c r="A704" s="6" t="s">
        <v>291</v>
      </c>
      <c r="B704" s="6" t="s">
        <v>292</v>
      </c>
      <c r="C704" s="6" t="s">
        <v>377</v>
      </c>
      <c r="D704" s="11" t="s">
        <v>294</v>
      </c>
      <c r="E704" s="17" t="s">
        <v>75</v>
      </c>
      <c r="F704" s="17" t="s">
        <v>86</v>
      </c>
      <c r="G704" s="11" t="s">
        <v>103</v>
      </c>
      <c r="H704" s="11" t="s">
        <v>125</v>
      </c>
      <c r="I704" s="17" t="s">
        <v>296</v>
      </c>
      <c r="J704" s="17">
        <v>17.052033697134998</v>
      </c>
      <c r="K704" s="17">
        <v>-96.721841714747995</v>
      </c>
      <c r="L704" s="17" t="str">
        <f>HYPERLINK("https://maps.google.com/?q=17.052033697135,-96.721841714748", "🔗 Ver Mapa")</f>
        <v>🔗 Ver Mapa</v>
      </c>
    </row>
    <row r="705" spans="1:12" ht="43.5" x14ac:dyDescent="0.35">
      <c r="A705" s="5" t="s">
        <v>291</v>
      </c>
      <c r="B705" s="5" t="s">
        <v>292</v>
      </c>
      <c r="C705" s="5" t="s">
        <v>377</v>
      </c>
      <c r="D705" s="8" t="s">
        <v>294</v>
      </c>
      <c r="E705" s="16" t="s">
        <v>75</v>
      </c>
      <c r="F705" s="16" t="s">
        <v>86</v>
      </c>
      <c r="G705" s="8" t="s">
        <v>103</v>
      </c>
      <c r="H705" s="8" t="s">
        <v>125</v>
      </c>
      <c r="I705" s="16" t="s">
        <v>296</v>
      </c>
      <c r="J705" s="16">
        <v>17.052037421146998</v>
      </c>
      <c r="K705" s="16">
        <v>-96.716446053032001</v>
      </c>
      <c r="L705" s="16" t="str">
        <f>HYPERLINK("https://maps.google.com/?q=17.052037421147,-96.716446053032", "🔗 Ver Mapa")</f>
        <v>🔗 Ver Mapa</v>
      </c>
    </row>
    <row r="706" spans="1:12" ht="43.5" x14ac:dyDescent="0.35">
      <c r="A706" s="6" t="s">
        <v>291</v>
      </c>
      <c r="B706" s="6" t="s">
        <v>292</v>
      </c>
      <c r="C706" s="6" t="s">
        <v>377</v>
      </c>
      <c r="D706" s="11" t="s">
        <v>294</v>
      </c>
      <c r="E706" s="17" t="s">
        <v>75</v>
      </c>
      <c r="F706" s="17" t="s">
        <v>86</v>
      </c>
      <c r="G706" s="11" t="s">
        <v>103</v>
      </c>
      <c r="H706" s="11" t="s">
        <v>125</v>
      </c>
      <c r="I706" s="17" t="s">
        <v>296</v>
      </c>
      <c r="J706" s="17">
        <v>17.052041309863</v>
      </c>
      <c r="K706" s="17">
        <v>-96.716427637191998</v>
      </c>
      <c r="L706" s="17" t="str">
        <f>HYPERLINK("https://maps.google.com/?q=17.052041309863,-96.716427637192", "🔗 Ver Mapa")</f>
        <v>🔗 Ver Mapa</v>
      </c>
    </row>
    <row r="707" spans="1:12" ht="43.5" x14ac:dyDescent="0.35">
      <c r="A707" s="5" t="s">
        <v>291</v>
      </c>
      <c r="B707" s="5" t="s">
        <v>292</v>
      </c>
      <c r="C707" s="5" t="s">
        <v>377</v>
      </c>
      <c r="D707" s="8" t="s">
        <v>294</v>
      </c>
      <c r="E707" s="16" t="s">
        <v>75</v>
      </c>
      <c r="F707" s="16" t="s">
        <v>86</v>
      </c>
      <c r="G707" s="8" t="s">
        <v>103</v>
      </c>
      <c r="H707" s="8" t="s">
        <v>125</v>
      </c>
      <c r="I707" s="16" t="s">
        <v>296</v>
      </c>
      <c r="J707" s="16">
        <v>17.052371712991</v>
      </c>
      <c r="K707" s="16">
        <v>-96.713385597284002</v>
      </c>
      <c r="L707" s="16" t="str">
        <f>HYPERLINK("https://maps.google.com/?q=17.052371712991,-96.713385597284", "🔗 Ver Mapa")</f>
        <v>🔗 Ver Mapa</v>
      </c>
    </row>
    <row r="708" spans="1:12" ht="43.5" x14ac:dyDescent="0.35">
      <c r="A708" s="6" t="s">
        <v>291</v>
      </c>
      <c r="B708" s="6" t="s">
        <v>292</v>
      </c>
      <c r="C708" s="6" t="s">
        <v>377</v>
      </c>
      <c r="D708" s="11" t="s">
        <v>294</v>
      </c>
      <c r="E708" s="17" t="s">
        <v>75</v>
      </c>
      <c r="F708" s="17" t="s">
        <v>86</v>
      </c>
      <c r="G708" s="11" t="s">
        <v>103</v>
      </c>
      <c r="H708" s="11" t="s">
        <v>125</v>
      </c>
      <c r="I708" s="17" t="s">
        <v>296</v>
      </c>
      <c r="J708" s="17">
        <v>17.05253012232</v>
      </c>
      <c r="K708" s="17">
        <v>-96.714546225646998</v>
      </c>
      <c r="L708" s="17" t="str">
        <f>HYPERLINK("https://maps.google.com/?q=17.05253012232,-96.714546225647", "🔗 Ver Mapa")</f>
        <v>🔗 Ver Mapa</v>
      </c>
    </row>
    <row r="709" spans="1:12" ht="43.5" x14ac:dyDescent="0.35">
      <c r="A709" s="5" t="s">
        <v>291</v>
      </c>
      <c r="B709" s="5" t="s">
        <v>292</v>
      </c>
      <c r="C709" s="5" t="s">
        <v>377</v>
      </c>
      <c r="D709" s="8" t="s">
        <v>294</v>
      </c>
      <c r="E709" s="16" t="s">
        <v>75</v>
      </c>
      <c r="F709" s="16" t="s">
        <v>86</v>
      </c>
      <c r="G709" s="8" t="s">
        <v>103</v>
      </c>
      <c r="H709" s="8" t="s">
        <v>125</v>
      </c>
      <c r="I709" s="16" t="s">
        <v>296</v>
      </c>
      <c r="J709" s="16">
        <v>17.052588603450001</v>
      </c>
      <c r="K709" s="16">
        <v>-96.719108425968997</v>
      </c>
      <c r="L709" s="16" t="str">
        <f>HYPERLINK("https://maps.google.com/?q=17.05258860345,-96.719108425969", "🔗 Ver Mapa")</f>
        <v>🔗 Ver Mapa</v>
      </c>
    </row>
    <row r="710" spans="1:12" ht="43.5" x14ac:dyDescent="0.35">
      <c r="A710" s="6" t="s">
        <v>291</v>
      </c>
      <c r="B710" s="6" t="s">
        <v>292</v>
      </c>
      <c r="C710" s="6" t="s">
        <v>377</v>
      </c>
      <c r="D710" s="11" t="s">
        <v>294</v>
      </c>
      <c r="E710" s="17" t="s">
        <v>75</v>
      </c>
      <c r="F710" s="17" t="s">
        <v>86</v>
      </c>
      <c r="G710" s="11" t="s">
        <v>103</v>
      </c>
      <c r="H710" s="11" t="s">
        <v>125</v>
      </c>
      <c r="I710" s="17" t="s">
        <v>296</v>
      </c>
      <c r="J710" s="17">
        <v>17.052647100000002</v>
      </c>
      <c r="K710" s="17">
        <v>-96.715853300000006</v>
      </c>
      <c r="L710" s="17" t="str">
        <f>HYPERLINK("https://maps.google.com/?q=17.0526471,-96.7158533", "🔗 Ver Mapa")</f>
        <v>🔗 Ver Mapa</v>
      </c>
    </row>
    <row r="711" spans="1:12" ht="43.5" x14ac:dyDescent="0.35">
      <c r="A711" s="5" t="s">
        <v>291</v>
      </c>
      <c r="B711" s="5" t="s">
        <v>292</v>
      </c>
      <c r="C711" s="5" t="s">
        <v>377</v>
      </c>
      <c r="D711" s="8" t="s">
        <v>294</v>
      </c>
      <c r="E711" s="16" t="s">
        <v>75</v>
      </c>
      <c r="F711" s="16" t="s">
        <v>86</v>
      </c>
      <c r="G711" s="8" t="s">
        <v>103</v>
      </c>
      <c r="H711" s="8" t="s">
        <v>125</v>
      </c>
      <c r="I711" s="16" t="s">
        <v>296</v>
      </c>
      <c r="J711" s="16">
        <v>17.052725215190002</v>
      </c>
      <c r="K711" s="16">
        <v>-96.715532768271999</v>
      </c>
      <c r="L711" s="16" t="str">
        <f>HYPERLINK("https://maps.google.com/?q=17.05272521519,-96.715532768272", "🔗 Ver Mapa")</f>
        <v>🔗 Ver Mapa</v>
      </c>
    </row>
    <row r="712" spans="1:12" ht="43.5" x14ac:dyDescent="0.35">
      <c r="A712" s="6" t="s">
        <v>291</v>
      </c>
      <c r="B712" s="6" t="s">
        <v>292</v>
      </c>
      <c r="C712" s="6" t="s">
        <v>377</v>
      </c>
      <c r="D712" s="11" t="s">
        <v>294</v>
      </c>
      <c r="E712" s="17" t="s">
        <v>75</v>
      </c>
      <c r="F712" s="17" t="s">
        <v>86</v>
      </c>
      <c r="G712" s="11" t="s">
        <v>103</v>
      </c>
      <c r="H712" s="11" t="s">
        <v>125</v>
      </c>
      <c r="I712" s="17" t="s">
        <v>296</v>
      </c>
      <c r="J712" s="17">
        <v>17.052725800000001</v>
      </c>
      <c r="K712" s="17">
        <v>-96.715525600000007</v>
      </c>
      <c r="L712" s="17" t="str">
        <f>HYPERLINK("https://maps.google.com/?q=17.0527258,-96.7155256", "🔗 Ver Mapa")</f>
        <v>🔗 Ver Mapa</v>
      </c>
    </row>
    <row r="713" spans="1:12" ht="43.5" x14ac:dyDescent="0.35">
      <c r="A713" s="5" t="s">
        <v>291</v>
      </c>
      <c r="B713" s="5" t="s">
        <v>292</v>
      </c>
      <c r="C713" s="5" t="s">
        <v>377</v>
      </c>
      <c r="D713" s="8" t="s">
        <v>294</v>
      </c>
      <c r="E713" s="16" t="s">
        <v>75</v>
      </c>
      <c r="F713" s="16" t="s">
        <v>86</v>
      </c>
      <c r="G713" s="8" t="s">
        <v>103</v>
      </c>
      <c r="H713" s="8" t="s">
        <v>125</v>
      </c>
      <c r="I713" s="16" t="s">
        <v>296</v>
      </c>
      <c r="J713" s="16">
        <v>17.052771791457001</v>
      </c>
      <c r="K713" s="16">
        <v>-96.715803711164995</v>
      </c>
      <c r="L713" s="16" t="str">
        <f>HYPERLINK("https://maps.google.com/?q=17.052771791457,-96.715803711165", "🔗 Ver Mapa")</f>
        <v>🔗 Ver Mapa</v>
      </c>
    </row>
    <row r="714" spans="1:12" ht="43.5" x14ac:dyDescent="0.35">
      <c r="A714" s="6" t="s">
        <v>291</v>
      </c>
      <c r="B714" s="6" t="s">
        <v>292</v>
      </c>
      <c r="C714" s="6" t="s">
        <v>377</v>
      </c>
      <c r="D714" s="11" t="s">
        <v>294</v>
      </c>
      <c r="E714" s="17" t="s">
        <v>75</v>
      </c>
      <c r="F714" s="17" t="s">
        <v>86</v>
      </c>
      <c r="G714" s="11" t="s">
        <v>103</v>
      </c>
      <c r="H714" s="11" t="s">
        <v>125</v>
      </c>
      <c r="I714" s="17" t="s">
        <v>296</v>
      </c>
      <c r="J714" s="17">
        <v>17.052798743042</v>
      </c>
      <c r="K714" s="17">
        <v>-96.715912325036001</v>
      </c>
      <c r="L714" s="17" t="str">
        <f>HYPERLINK("https://maps.google.com/?q=17.052798743042,-96.715912325036", "🔗 Ver Mapa")</f>
        <v>🔗 Ver Mapa</v>
      </c>
    </row>
    <row r="715" spans="1:12" ht="43.5" x14ac:dyDescent="0.35">
      <c r="A715" s="5" t="s">
        <v>291</v>
      </c>
      <c r="B715" s="5" t="s">
        <v>292</v>
      </c>
      <c r="C715" s="5" t="s">
        <v>377</v>
      </c>
      <c r="D715" s="8" t="s">
        <v>294</v>
      </c>
      <c r="E715" s="16" t="s">
        <v>75</v>
      </c>
      <c r="F715" s="16" t="s">
        <v>86</v>
      </c>
      <c r="G715" s="8" t="s">
        <v>103</v>
      </c>
      <c r="H715" s="8" t="s">
        <v>125</v>
      </c>
      <c r="I715" s="16" t="s">
        <v>296</v>
      </c>
      <c r="J715" s="16">
        <v>17.052807751732999</v>
      </c>
      <c r="K715" s="16">
        <v>-96.718667204998994</v>
      </c>
      <c r="L715" s="16" t="str">
        <f>HYPERLINK("https://maps.google.com/?q=17.052807751733,-96.718667204999", "🔗 Ver Mapa")</f>
        <v>🔗 Ver Mapa</v>
      </c>
    </row>
    <row r="716" spans="1:12" ht="43.5" x14ac:dyDescent="0.35">
      <c r="A716" s="6" t="s">
        <v>291</v>
      </c>
      <c r="B716" s="6" t="s">
        <v>292</v>
      </c>
      <c r="C716" s="6" t="s">
        <v>377</v>
      </c>
      <c r="D716" s="11" t="s">
        <v>294</v>
      </c>
      <c r="E716" s="17" t="s">
        <v>75</v>
      </c>
      <c r="F716" s="17" t="s">
        <v>86</v>
      </c>
      <c r="G716" s="11" t="s">
        <v>103</v>
      </c>
      <c r="H716" s="11" t="s">
        <v>125</v>
      </c>
      <c r="I716" s="17" t="s">
        <v>296</v>
      </c>
      <c r="J716" s="17">
        <v>17.052845683773999</v>
      </c>
      <c r="K716" s="17">
        <v>-96.716028110034003</v>
      </c>
      <c r="L716" s="17" t="str">
        <f>HYPERLINK("https://maps.google.com/?q=17.052845683774,-96.716028110034", "🔗 Ver Mapa")</f>
        <v>🔗 Ver Mapa</v>
      </c>
    </row>
    <row r="717" spans="1:12" ht="43.5" x14ac:dyDescent="0.35">
      <c r="A717" s="5" t="s">
        <v>291</v>
      </c>
      <c r="B717" s="5" t="s">
        <v>292</v>
      </c>
      <c r="C717" s="5" t="s">
        <v>377</v>
      </c>
      <c r="D717" s="8" t="s">
        <v>294</v>
      </c>
      <c r="E717" s="16" t="s">
        <v>75</v>
      </c>
      <c r="F717" s="16" t="s">
        <v>86</v>
      </c>
      <c r="G717" s="8" t="s">
        <v>103</v>
      </c>
      <c r="H717" s="8" t="s">
        <v>125</v>
      </c>
      <c r="I717" s="16" t="s">
        <v>296</v>
      </c>
      <c r="J717" s="16">
        <v>17.052920454643999</v>
      </c>
      <c r="K717" s="16">
        <v>-96.716097984935999</v>
      </c>
      <c r="L717" s="16" t="str">
        <f>HYPERLINK("https://maps.google.com/?q=17.052920454644,-96.716097984936", "🔗 Ver Mapa")</f>
        <v>🔗 Ver Mapa</v>
      </c>
    </row>
    <row r="718" spans="1:12" ht="43.5" x14ac:dyDescent="0.35">
      <c r="A718" s="6" t="s">
        <v>291</v>
      </c>
      <c r="B718" s="6" t="s">
        <v>292</v>
      </c>
      <c r="C718" s="6" t="s">
        <v>377</v>
      </c>
      <c r="D718" s="11" t="s">
        <v>294</v>
      </c>
      <c r="E718" s="17" t="s">
        <v>75</v>
      </c>
      <c r="F718" s="17" t="s">
        <v>86</v>
      </c>
      <c r="G718" s="11" t="s">
        <v>103</v>
      </c>
      <c r="H718" s="11" t="s">
        <v>125</v>
      </c>
      <c r="I718" s="17" t="s">
        <v>296</v>
      </c>
      <c r="J718" s="17">
        <v>17.053073718909999</v>
      </c>
      <c r="K718" s="17">
        <v>-96.716160738121005</v>
      </c>
      <c r="L718" s="17" t="str">
        <f>HYPERLINK("https://maps.google.com/?q=17.05307371891,-96.716160738121", "🔗 Ver Mapa")</f>
        <v>🔗 Ver Mapa</v>
      </c>
    </row>
    <row r="719" spans="1:12" ht="43.5" x14ac:dyDescent="0.35">
      <c r="A719" s="5" t="s">
        <v>291</v>
      </c>
      <c r="B719" s="5" t="s">
        <v>292</v>
      </c>
      <c r="C719" s="5" t="s">
        <v>377</v>
      </c>
      <c r="D719" s="8" t="s">
        <v>294</v>
      </c>
      <c r="E719" s="16" t="s">
        <v>75</v>
      </c>
      <c r="F719" s="16" t="s">
        <v>86</v>
      </c>
      <c r="G719" s="8" t="s">
        <v>103</v>
      </c>
      <c r="H719" s="8" t="s">
        <v>125</v>
      </c>
      <c r="I719" s="16" t="s">
        <v>296</v>
      </c>
      <c r="J719" s="16">
        <v>17.053231966609999</v>
      </c>
      <c r="K719" s="16">
        <v>-96.716421268212002</v>
      </c>
      <c r="L719" s="16" t="str">
        <f>HYPERLINK("https://maps.google.com/?q=17.05323196661,-96.716421268212", "🔗 Ver Mapa")</f>
        <v>🔗 Ver Mapa</v>
      </c>
    </row>
    <row r="720" spans="1:12" ht="43.5" x14ac:dyDescent="0.35">
      <c r="A720" s="6" t="s">
        <v>291</v>
      </c>
      <c r="B720" s="6" t="s">
        <v>292</v>
      </c>
      <c r="C720" s="6" t="s">
        <v>377</v>
      </c>
      <c r="D720" s="11" t="s">
        <v>294</v>
      </c>
      <c r="E720" s="17" t="s">
        <v>75</v>
      </c>
      <c r="F720" s="17" t="s">
        <v>86</v>
      </c>
      <c r="G720" s="11" t="s">
        <v>103</v>
      </c>
      <c r="H720" s="11" t="s">
        <v>125</v>
      </c>
      <c r="I720" s="17" t="s">
        <v>296</v>
      </c>
      <c r="J720" s="17">
        <v>17.053331254446999</v>
      </c>
      <c r="K720" s="17">
        <v>-96.713090404848998</v>
      </c>
      <c r="L720" s="17" t="str">
        <f>HYPERLINK("https://maps.google.com/?q=17.053331254447,-96.713090404849", "🔗 Ver Mapa")</f>
        <v>🔗 Ver Mapa</v>
      </c>
    </row>
    <row r="721" spans="1:12" ht="43.5" x14ac:dyDescent="0.35">
      <c r="A721" s="5" t="s">
        <v>291</v>
      </c>
      <c r="B721" s="5" t="s">
        <v>292</v>
      </c>
      <c r="C721" s="5" t="s">
        <v>377</v>
      </c>
      <c r="D721" s="8" t="s">
        <v>294</v>
      </c>
      <c r="E721" s="16" t="s">
        <v>75</v>
      </c>
      <c r="F721" s="16" t="s">
        <v>86</v>
      </c>
      <c r="G721" s="8" t="s">
        <v>103</v>
      </c>
      <c r="H721" s="8" t="s">
        <v>125</v>
      </c>
      <c r="I721" s="16" t="s">
        <v>296</v>
      </c>
      <c r="J721" s="16">
        <v>17.053418378372999</v>
      </c>
      <c r="K721" s="16">
        <v>-96.716358332946001</v>
      </c>
      <c r="L721" s="16" t="str">
        <f>HYPERLINK("https://maps.google.com/?q=17.053418378373,-96.716358332946", "🔗 Ver Mapa")</f>
        <v>🔗 Ver Mapa</v>
      </c>
    </row>
    <row r="722" spans="1:12" ht="43.5" x14ac:dyDescent="0.35">
      <c r="A722" s="6" t="s">
        <v>291</v>
      </c>
      <c r="B722" s="6" t="s">
        <v>292</v>
      </c>
      <c r="C722" s="6" t="s">
        <v>377</v>
      </c>
      <c r="D722" s="11" t="s">
        <v>294</v>
      </c>
      <c r="E722" s="17" t="s">
        <v>75</v>
      </c>
      <c r="F722" s="17" t="s">
        <v>86</v>
      </c>
      <c r="G722" s="11" t="s">
        <v>103</v>
      </c>
      <c r="H722" s="11" t="s">
        <v>125</v>
      </c>
      <c r="I722" s="17" t="s">
        <v>296</v>
      </c>
      <c r="J722" s="17">
        <v>17.053925219456001</v>
      </c>
      <c r="K722" s="17">
        <v>-96.707241102134006</v>
      </c>
      <c r="L722" s="17" t="str">
        <f>HYPERLINK("https://maps.google.com/?q=17.053925219456,-96.707241102134", "🔗 Ver Mapa")</f>
        <v>🔗 Ver Mapa</v>
      </c>
    </row>
    <row r="723" spans="1:12" ht="43.5" x14ac:dyDescent="0.35">
      <c r="A723" s="5" t="s">
        <v>291</v>
      </c>
      <c r="B723" s="5" t="s">
        <v>292</v>
      </c>
      <c r="C723" s="5" t="s">
        <v>377</v>
      </c>
      <c r="D723" s="8" t="s">
        <v>294</v>
      </c>
      <c r="E723" s="16" t="s">
        <v>75</v>
      </c>
      <c r="F723" s="16" t="s">
        <v>86</v>
      </c>
      <c r="G723" s="8" t="s">
        <v>103</v>
      </c>
      <c r="H723" s="8" t="s">
        <v>125</v>
      </c>
      <c r="I723" s="16" t="s">
        <v>296</v>
      </c>
      <c r="J723" s="16">
        <v>17.054382109774</v>
      </c>
      <c r="K723" s="16">
        <v>-96.707545006011998</v>
      </c>
      <c r="L723" s="16" t="str">
        <f>HYPERLINK("https://maps.google.com/?q=17.054382109774,-96.707545006012", "🔗 Ver Mapa")</f>
        <v>🔗 Ver Mapa</v>
      </c>
    </row>
    <row r="724" spans="1:12" ht="43.5" x14ac:dyDescent="0.35">
      <c r="A724" s="6" t="s">
        <v>291</v>
      </c>
      <c r="B724" s="6" t="s">
        <v>292</v>
      </c>
      <c r="C724" s="6" t="s">
        <v>377</v>
      </c>
      <c r="D724" s="11" t="s">
        <v>294</v>
      </c>
      <c r="E724" s="17" t="s">
        <v>75</v>
      </c>
      <c r="F724" s="17" t="s">
        <v>86</v>
      </c>
      <c r="G724" s="11" t="s">
        <v>103</v>
      </c>
      <c r="H724" s="11" t="s">
        <v>125</v>
      </c>
      <c r="I724" s="17" t="s">
        <v>296</v>
      </c>
      <c r="J724" s="17">
        <v>17.055196247919</v>
      </c>
      <c r="K724" s="17">
        <v>-96.729975525642999</v>
      </c>
      <c r="L724" s="17" t="str">
        <f>HYPERLINK("https://maps.google.com/?q=17.055196247919,-96.729975525643", "🔗 Ver Mapa")</f>
        <v>🔗 Ver Mapa</v>
      </c>
    </row>
    <row r="725" spans="1:12" ht="43.5" x14ac:dyDescent="0.35">
      <c r="A725" s="5" t="s">
        <v>291</v>
      </c>
      <c r="B725" s="5" t="s">
        <v>292</v>
      </c>
      <c r="C725" s="5" t="s">
        <v>377</v>
      </c>
      <c r="D725" s="8" t="s">
        <v>294</v>
      </c>
      <c r="E725" s="16" t="s">
        <v>75</v>
      </c>
      <c r="F725" s="16" t="s">
        <v>86</v>
      </c>
      <c r="G725" s="8" t="s">
        <v>103</v>
      </c>
      <c r="H725" s="8" t="s">
        <v>125</v>
      </c>
      <c r="I725" s="16" t="s">
        <v>296</v>
      </c>
      <c r="J725" s="16">
        <v>17.055451618719999</v>
      </c>
      <c r="K725" s="16">
        <v>-96.708314658101997</v>
      </c>
      <c r="L725" s="16" t="str">
        <f>HYPERLINK("https://maps.google.com/?q=17.05545161872,-96.708314658102", "🔗 Ver Mapa")</f>
        <v>🔗 Ver Mapa</v>
      </c>
    </row>
    <row r="726" spans="1:12" ht="43.5" x14ac:dyDescent="0.35">
      <c r="A726" s="6" t="s">
        <v>291</v>
      </c>
      <c r="B726" s="6" t="s">
        <v>292</v>
      </c>
      <c r="C726" s="6" t="s">
        <v>377</v>
      </c>
      <c r="D726" s="11" t="s">
        <v>294</v>
      </c>
      <c r="E726" s="17" t="s">
        <v>75</v>
      </c>
      <c r="F726" s="17" t="s">
        <v>86</v>
      </c>
      <c r="G726" s="11" t="s">
        <v>103</v>
      </c>
      <c r="H726" s="11" t="s">
        <v>125</v>
      </c>
      <c r="I726" s="17" t="s">
        <v>296</v>
      </c>
      <c r="J726" s="17">
        <v>17.055796494311998</v>
      </c>
      <c r="K726" s="17">
        <v>-96.727867867243006</v>
      </c>
      <c r="L726" s="17" t="str">
        <f>HYPERLINK("https://maps.google.com/?q=17.055796494312,-96.727867867243", "🔗 Ver Mapa")</f>
        <v>🔗 Ver Mapa</v>
      </c>
    </row>
    <row r="727" spans="1:12" ht="43.5" x14ac:dyDescent="0.35">
      <c r="A727" s="5" t="s">
        <v>291</v>
      </c>
      <c r="B727" s="5" t="s">
        <v>292</v>
      </c>
      <c r="C727" s="5" t="s">
        <v>377</v>
      </c>
      <c r="D727" s="8" t="s">
        <v>294</v>
      </c>
      <c r="E727" s="16" t="s">
        <v>75</v>
      </c>
      <c r="F727" s="16" t="s">
        <v>86</v>
      </c>
      <c r="G727" s="8" t="s">
        <v>103</v>
      </c>
      <c r="H727" s="8" t="s">
        <v>125</v>
      </c>
      <c r="I727" s="16" t="s">
        <v>296</v>
      </c>
      <c r="J727" s="16">
        <v>17.056137245555</v>
      </c>
      <c r="K727" s="16">
        <v>-96.708765691758998</v>
      </c>
      <c r="L727" s="16" t="str">
        <f>HYPERLINK("https://maps.google.com/?q=17.056137245555,-96.708765691759", "🔗 Ver Mapa")</f>
        <v>🔗 Ver Mapa</v>
      </c>
    </row>
    <row r="728" spans="1:12" ht="43.5" x14ac:dyDescent="0.35">
      <c r="A728" s="6" t="s">
        <v>291</v>
      </c>
      <c r="B728" s="6" t="s">
        <v>292</v>
      </c>
      <c r="C728" s="6" t="s">
        <v>377</v>
      </c>
      <c r="D728" s="11" t="s">
        <v>294</v>
      </c>
      <c r="E728" s="17" t="s">
        <v>75</v>
      </c>
      <c r="F728" s="17" t="s">
        <v>86</v>
      </c>
      <c r="G728" s="11" t="s">
        <v>103</v>
      </c>
      <c r="H728" s="11" t="s">
        <v>125</v>
      </c>
      <c r="I728" s="17" t="s">
        <v>296</v>
      </c>
      <c r="J728" s="17">
        <v>17.057179449917999</v>
      </c>
      <c r="K728" s="17">
        <v>-96.709338318601993</v>
      </c>
      <c r="L728" s="17" t="str">
        <f>HYPERLINK("https://maps.google.com/?q=17.057179449918,-96.709338318602", "🔗 Ver Mapa")</f>
        <v>🔗 Ver Mapa</v>
      </c>
    </row>
    <row r="729" spans="1:12" ht="43.5" x14ac:dyDescent="0.35">
      <c r="A729" s="5" t="s">
        <v>291</v>
      </c>
      <c r="B729" s="5" t="s">
        <v>292</v>
      </c>
      <c r="C729" s="5" t="s">
        <v>377</v>
      </c>
      <c r="D729" s="8" t="s">
        <v>294</v>
      </c>
      <c r="E729" s="16" t="s">
        <v>75</v>
      </c>
      <c r="F729" s="16" t="s">
        <v>86</v>
      </c>
      <c r="G729" s="8" t="s">
        <v>103</v>
      </c>
      <c r="H729" s="8" t="s">
        <v>125</v>
      </c>
      <c r="I729" s="16" t="s">
        <v>296</v>
      </c>
      <c r="J729" s="16">
        <v>17.057246767669</v>
      </c>
      <c r="K729" s="16">
        <v>-96.725560683900994</v>
      </c>
      <c r="L729" s="16" t="str">
        <f>HYPERLINK("https://maps.google.com/?q=17.057246767669,-96.725560683901", "🔗 Ver Mapa")</f>
        <v>🔗 Ver Mapa</v>
      </c>
    </row>
    <row r="730" spans="1:12" ht="43.5" x14ac:dyDescent="0.35">
      <c r="A730" s="6" t="s">
        <v>291</v>
      </c>
      <c r="B730" s="6" t="s">
        <v>292</v>
      </c>
      <c r="C730" s="6" t="s">
        <v>377</v>
      </c>
      <c r="D730" s="11" t="s">
        <v>294</v>
      </c>
      <c r="E730" s="17" t="s">
        <v>75</v>
      </c>
      <c r="F730" s="17" t="s">
        <v>86</v>
      </c>
      <c r="G730" s="11" t="s">
        <v>103</v>
      </c>
      <c r="H730" s="11" t="s">
        <v>125</v>
      </c>
      <c r="I730" s="17" t="s">
        <v>296</v>
      </c>
      <c r="J730" s="17">
        <v>17.057433206235999</v>
      </c>
      <c r="K730" s="17">
        <v>-96.726509392706006</v>
      </c>
      <c r="L730" s="17" t="str">
        <f>HYPERLINK("https://maps.google.com/?q=17.057433206236,-96.726509392706", "🔗 Ver Mapa")</f>
        <v>🔗 Ver Mapa</v>
      </c>
    </row>
    <row r="731" spans="1:12" ht="43.5" x14ac:dyDescent="0.35">
      <c r="A731" s="5" t="s">
        <v>291</v>
      </c>
      <c r="B731" s="5" t="s">
        <v>292</v>
      </c>
      <c r="C731" s="5" t="s">
        <v>377</v>
      </c>
      <c r="D731" s="8" t="s">
        <v>294</v>
      </c>
      <c r="E731" s="16" t="s">
        <v>75</v>
      </c>
      <c r="F731" s="16" t="s">
        <v>86</v>
      </c>
      <c r="G731" s="8" t="s">
        <v>103</v>
      </c>
      <c r="H731" s="8" t="s">
        <v>125</v>
      </c>
      <c r="I731" s="16" t="s">
        <v>296</v>
      </c>
      <c r="J731" s="16">
        <v>17.057552677558999</v>
      </c>
      <c r="K731" s="16">
        <v>-96.705498994064001</v>
      </c>
      <c r="L731" s="16" t="str">
        <f>HYPERLINK("https://maps.google.com/?q=17.057552677559,-96.705498994064", "🔗 Ver Mapa")</f>
        <v>🔗 Ver Mapa</v>
      </c>
    </row>
    <row r="732" spans="1:12" ht="43.5" x14ac:dyDescent="0.35">
      <c r="A732" s="6" t="s">
        <v>291</v>
      </c>
      <c r="B732" s="6" t="s">
        <v>292</v>
      </c>
      <c r="C732" s="6" t="s">
        <v>377</v>
      </c>
      <c r="D732" s="11" t="s">
        <v>294</v>
      </c>
      <c r="E732" s="17" t="s">
        <v>75</v>
      </c>
      <c r="F732" s="17" t="s">
        <v>86</v>
      </c>
      <c r="G732" s="11" t="s">
        <v>103</v>
      </c>
      <c r="H732" s="11" t="s">
        <v>125</v>
      </c>
      <c r="I732" s="17" t="s">
        <v>296</v>
      </c>
      <c r="J732" s="17">
        <v>17.0575549</v>
      </c>
      <c r="K732" s="17">
        <v>-96.742535899999993</v>
      </c>
      <c r="L732" s="17" t="str">
        <f>HYPERLINK("https://maps.google.com/?q=17.0575549,-96.7425359", "🔗 Ver Mapa")</f>
        <v>🔗 Ver Mapa</v>
      </c>
    </row>
    <row r="733" spans="1:12" ht="43.5" x14ac:dyDescent="0.35">
      <c r="A733" s="5" t="s">
        <v>291</v>
      </c>
      <c r="B733" s="5" t="s">
        <v>292</v>
      </c>
      <c r="C733" s="5" t="s">
        <v>377</v>
      </c>
      <c r="D733" s="8" t="s">
        <v>294</v>
      </c>
      <c r="E733" s="16" t="s">
        <v>75</v>
      </c>
      <c r="F733" s="16" t="s">
        <v>86</v>
      </c>
      <c r="G733" s="8" t="s">
        <v>103</v>
      </c>
      <c r="H733" s="8" t="s">
        <v>125</v>
      </c>
      <c r="I733" s="16" t="s">
        <v>296</v>
      </c>
      <c r="J733" s="16">
        <v>17.057576521762002</v>
      </c>
      <c r="K733" s="16">
        <v>-96.742039827260001</v>
      </c>
      <c r="L733" s="16" t="str">
        <f>HYPERLINK("https://maps.google.com/?q=17.057576521762,-96.74203982726", "🔗 Ver Mapa")</f>
        <v>🔗 Ver Mapa</v>
      </c>
    </row>
    <row r="734" spans="1:12" ht="43.5" x14ac:dyDescent="0.35">
      <c r="A734" s="6" t="s">
        <v>291</v>
      </c>
      <c r="B734" s="6" t="s">
        <v>292</v>
      </c>
      <c r="C734" s="6" t="s">
        <v>377</v>
      </c>
      <c r="D734" s="11" t="s">
        <v>294</v>
      </c>
      <c r="E734" s="17" t="s">
        <v>75</v>
      </c>
      <c r="F734" s="17" t="s">
        <v>86</v>
      </c>
      <c r="G734" s="11" t="s">
        <v>103</v>
      </c>
      <c r="H734" s="11" t="s">
        <v>125</v>
      </c>
      <c r="I734" s="17" t="s">
        <v>296</v>
      </c>
      <c r="J734" s="17">
        <v>17.057624084770001</v>
      </c>
      <c r="K734" s="17">
        <v>-96.727455278883994</v>
      </c>
      <c r="L734" s="17" t="str">
        <f>HYPERLINK("https://maps.google.com/?q=17.05762408477,-96.727455278884", "🔗 Ver Mapa")</f>
        <v>🔗 Ver Mapa</v>
      </c>
    </row>
    <row r="735" spans="1:12" ht="43.5" x14ac:dyDescent="0.35">
      <c r="A735" s="5" t="s">
        <v>291</v>
      </c>
      <c r="B735" s="5" t="s">
        <v>292</v>
      </c>
      <c r="C735" s="5" t="s">
        <v>377</v>
      </c>
      <c r="D735" s="8" t="s">
        <v>294</v>
      </c>
      <c r="E735" s="16" t="s">
        <v>75</v>
      </c>
      <c r="F735" s="16" t="s">
        <v>86</v>
      </c>
      <c r="G735" s="8" t="s">
        <v>103</v>
      </c>
      <c r="H735" s="8" t="s">
        <v>125</v>
      </c>
      <c r="I735" s="16" t="s">
        <v>296</v>
      </c>
      <c r="J735" s="16">
        <v>17.057808600000001</v>
      </c>
      <c r="K735" s="16">
        <v>-96.742280600000001</v>
      </c>
      <c r="L735" s="16" t="str">
        <f>HYPERLINK("https://maps.google.com/?q=17.0578086,-96.7422806", "🔗 Ver Mapa")</f>
        <v>🔗 Ver Mapa</v>
      </c>
    </row>
    <row r="736" spans="1:12" ht="43.5" x14ac:dyDescent="0.35">
      <c r="A736" s="6" t="s">
        <v>291</v>
      </c>
      <c r="B736" s="6" t="s">
        <v>292</v>
      </c>
      <c r="C736" s="6" t="s">
        <v>377</v>
      </c>
      <c r="D736" s="11" t="s">
        <v>294</v>
      </c>
      <c r="E736" s="17" t="s">
        <v>75</v>
      </c>
      <c r="F736" s="17" t="s">
        <v>86</v>
      </c>
      <c r="G736" s="11" t="s">
        <v>103</v>
      </c>
      <c r="H736" s="11" t="s">
        <v>125</v>
      </c>
      <c r="I736" s="17" t="s">
        <v>296</v>
      </c>
      <c r="J736" s="17">
        <v>17.057960983986</v>
      </c>
      <c r="K736" s="17">
        <v>-96.741467922165995</v>
      </c>
      <c r="L736" s="17" t="str">
        <f>HYPERLINK("https://maps.google.com/?q=17.057960983986,-96.741467922166", "🔗 Ver Mapa")</f>
        <v>🔗 Ver Mapa</v>
      </c>
    </row>
    <row r="737" spans="1:12" ht="43.5" x14ac:dyDescent="0.35">
      <c r="A737" s="5" t="s">
        <v>291</v>
      </c>
      <c r="B737" s="5" t="s">
        <v>292</v>
      </c>
      <c r="C737" s="5" t="s">
        <v>377</v>
      </c>
      <c r="D737" s="8" t="s">
        <v>294</v>
      </c>
      <c r="E737" s="16" t="s">
        <v>75</v>
      </c>
      <c r="F737" s="16" t="s">
        <v>86</v>
      </c>
      <c r="G737" s="8" t="s">
        <v>103</v>
      </c>
      <c r="H737" s="8" t="s">
        <v>125</v>
      </c>
      <c r="I737" s="16" t="s">
        <v>296</v>
      </c>
      <c r="J737" s="16">
        <v>17.058007108373001</v>
      </c>
      <c r="K737" s="16">
        <v>-96.729404020599006</v>
      </c>
      <c r="L737" s="16" t="str">
        <f>HYPERLINK("https://maps.google.com/?q=17.058007108373,-96.729404020599", "🔗 Ver Mapa")</f>
        <v>🔗 Ver Mapa</v>
      </c>
    </row>
    <row r="738" spans="1:12" ht="43.5" x14ac:dyDescent="0.35">
      <c r="A738" s="6" t="s">
        <v>291</v>
      </c>
      <c r="B738" s="6" t="s">
        <v>292</v>
      </c>
      <c r="C738" s="6" t="s">
        <v>377</v>
      </c>
      <c r="D738" s="11" t="s">
        <v>294</v>
      </c>
      <c r="E738" s="17" t="s">
        <v>75</v>
      </c>
      <c r="F738" s="17" t="s">
        <v>86</v>
      </c>
      <c r="G738" s="11" t="s">
        <v>103</v>
      </c>
      <c r="H738" s="11" t="s">
        <v>125</v>
      </c>
      <c r="I738" s="17" t="s">
        <v>296</v>
      </c>
      <c r="J738" s="17">
        <v>17.058023772001999</v>
      </c>
      <c r="K738" s="17">
        <v>-96.731704055441995</v>
      </c>
      <c r="L738" s="17" t="str">
        <f>HYPERLINK("https://maps.google.com/?q=17.058023772002,-96.731704055442", "🔗 Ver Mapa")</f>
        <v>🔗 Ver Mapa</v>
      </c>
    </row>
    <row r="739" spans="1:12" ht="43.5" x14ac:dyDescent="0.35">
      <c r="A739" s="5" t="s">
        <v>291</v>
      </c>
      <c r="B739" s="5" t="s">
        <v>292</v>
      </c>
      <c r="C739" s="5" t="s">
        <v>377</v>
      </c>
      <c r="D739" s="8" t="s">
        <v>294</v>
      </c>
      <c r="E739" s="16" t="s">
        <v>75</v>
      </c>
      <c r="F739" s="16" t="s">
        <v>86</v>
      </c>
      <c r="G739" s="8" t="s">
        <v>103</v>
      </c>
      <c r="H739" s="8" t="s">
        <v>125</v>
      </c>
      <c r="I739" s="16" t="s">
        <v>296</v>
      </c>
      <c r="J739" s="16">
        <v>17.058055528103999</v>
      </c>
      <c r="K739" s="16">
        <v>-96.705504042056006</v>
      </c>
      <c r="L739" s="16" t="str">
        <f>HYPERLINK("https://maps.google.com/?q=17.058055528104,-96.705504042056", "🔗 Ver Mapa")</f>
        <v>🔗 Ver Mapa</v>
      </c>
    </row>
    <row r="740" spans="1:12" ht="43.5" x14ac:dyDescent="0.35">
      <c r="A740" s="6" t="s">
        <v>291</v>
      </c>
      <c r="B740" s="6" t="s">
        <v>292</v>
      </c>
      <c r="C740" s="6" t="s">
        <v>377</v>
      </c>
      <c r="D740" s="11" t="s">
        <v>294</v>
      </c>
      <c r="E740" s="17" t="s">
        <v>75</v>
      </c>
      <c r="F740" s="17" t="s">
        <v>86</v>
      </c>
      <c r="G740" s="11" t="s">
        <v>103</v>
      </c>
      <c r="H740" s="11" t="s">
        <v>125</v>
      </c>
      <c r="I740" s="17" t="s">
        <v>296</v>
      </c>
      <c r="J740" s="17">
        <v>17.058072413000001</v>
      </c>
      <c r="K740" s="17">
        <v>-96.731605725281</v>
      </c>
      <c r="L740" s="17" t="str">
        <f>HYPERLINK("https://maps.google.com/?q=17.058072413,-96.731605725281", "🔗 Ver Mapa")</f>
        <v>🔗 Ver Mapa</v>
      </c>
    </row>
    <row r="741" spans="1:12" ht="43.5" x14ac:dyDescent="0.35">
      <c r="A741" s="5" t="s">
        <v>291</v>
      </c>
      <c r="B741" s="5" t="s">
        <v>292</v>
      </c>
      <c r="C741" s="5" t="s">
        <v>377</v>
      </c>
      <c r="D741" s="8" t="s">
        <v>294</v>
      </c>
      <c r="E741" s="16" t="s">
        <v>75</v>
      </c>
      <c r="F741" s="16" t="s">
        <v>86</v>
      </c>
      <c r="G741" s="8" t="s">
        <v>103</v>
      </c>
      <c r="H741" s="8" t="s">
        <v>125</v>
      </c>
      <c r="I741" s="16" t="s">
        <v>296</v>
      </c>
      <c r="J741" s="16">
        <v>17.058154870287002</v>
      </c>
      <c r="K741" s="16">
        <v>-96.730319676407007</v>
      </c>
      <c r="L741" s="16" t="str">
        <f>HYPERLINK("https://maps.google.com/?q=17.058154870287,-96.730319676407", "🔗 Ver Mapa")</f>
        <v>🔗 Ver Mapa</v>
      </c>
    </row>
    <row r="742" spans="1:12" ht="43.5" x14ac:dyDescent="0.35">
      <c r="A742" s="6" t="s">
        <v>291</v>
      </c>
      <c r="B742" s="6" t="s">
        <v>292</v>
      </c>
      <c r="C742" s="6" t="s">
        <v>377</v>
      </c>
      <c r="D742" s="11" t="s">
        <v>294</v>
      </c>
      <c r="E742" s="17" t="s">
        <v>75</v>
      </c>
      <c r="F742" s="17" t="s">
        <v>86</v>
      </c>
      <c r="G742" s="11" t="s">
        <v>103</v>
      </c>
      <c r="H742" s="11" t="s">
        <v>125</v>
      </c>
      <c r="I742" s="17" t="s">
        <v>296</v>
      </c>
      <c r="J742" s="17">
        <v>17.058410346481999</v>
      </c>
      <c r="K742" s="17">
        <v>-96.726334935381999</v>
      </c>
      <c r="L742" s="17" t="str">
        <f>HYPERLINK("https://maps.google.com/?q=17.058410346482,-96.726334935382", "🔗 Ver Mapa")</f>
        <v>🔗 Ver Mapa</v>
      </c>
    </row>
    <row r="743" spans="1:12" ht="43.5" x14ac:dyDescent="0.35">
      <c r="A743" s="5" t="s">
        <v>291</v>
      </c>
      <c r="B743" s="5" t="s">
        <v>292</v>
      </c>
      <c r="C743" s="5" t="s">
        <v>377</v>
      </c>
      <c r="D743" s="8" t="s">
        <v>294</v>
      </c>
      <c r="E743" s="16" t="s">
        <v>75</v>
      </c>
      <c r="F743" s="16" t="s">
        <v>86</v>
      </c>
      <c r="G743" s="8" t="s">
        <v>103</v>
      </c>
      <c r="H743" s="8" t="s">
        <v>125</v>
      </c>
      <c r="I743" s="16" t="s">
        <v>296</v>
      </c>
      <c r="J743" s="16">
        <v>17.058507028093999</v>
      </c>
      <c r="K743" s="16">
        <v>-96.742920998204994</v>
      </c>
      <c r="L743" s="16" t="str">
        <f>HYPERLINK("https://maps.google.com/?q=17.058507028094,-96.742920998205", "🔗 Ver Mapa")</f>
        <v>🔗 Ver Mapa</v>
      </c>
    </row>
    <row r="744" spans="1:12" ht="43.5" x14ac:dyDescent="0.35">
      <c r="A744" s="6" t="s">
        <v>291</v>
      </c>
      <c r="B744" s="6" t="s">
        <v>292</v>
      </c>
      <c r="C744" s="6" t="s">
        <v>377</v>
      </c>
      <c r="D744" s="11" t="s">
        <v>294</v>
      </c>
      <c r="E744" s="17" t="s">
        <v>75</v>
      </c>
      <c r="F744" s="17" t="s">
        <v>86</v>
      </c>
      <c r="G744" s="11" t="s">
        <v>103</v>
      </c>
      <c r="H744" s="11" t="s">
        <v>125</v>
      </c>
      <c r="I744" s="17" t="s">
        <v>296</v>
      </c>
      <c r="J744" s="17">
        <v>17.058637961515</v>
      </c>
      <c r="K744" s="17">
        <v>-96.727289472121996</v>
      </c>
      <c r="L744" s="17" t="str">
        <f>HYPERLINK("https://maps.google.com/?q=17.058637961515,-96.727289472122", "🔗 Ver Mapa")</f>
        <v>🔗 Ver Mapa</v>
      </c>
    </row>
    <row r="745" spans="1:12" ht="43.5" x14ac:dyDescent="0.35">
      <c r="A745" s="5" t="s">
        <v>291</v>
      </c>
      <c r="B745" s="5" t="s">
        <v>292</v>
      </c>
      <c r="C745" s="5" t="s">
        <v>377</v>
      </c>
      <c r="D745" s="8" t="s">
        <v>294</v>
      </c>
      <c r="E745" s="16" t="s">
        <v>75</v>
      </c>
      <c r="F745" s="16" t="s">
        <v>86</v>
      </c>
      <c r="G745" s="8" t="s">
        <v>103</v>
      </c>
      <c r="H745" s="8" t="s">
        <v>125</v>
      </c>
      <c r="I745" s="16" t="s">
        <v>296</v>
      </c>
      <c r="J745" s="16">
        <v>17.059288734608</v>
      </c>
      <c r="K745" s="16">
        <v>-96.726140989536006</v>
      </c>
      <c r="L745" s="16" t="str">
        <f>HYPERLINK("https://maps.google.com/?q=17.059288734608,-96.726140989536", "🔗 Ver Mapa")</f>
        <v>🔗 Ver Mapa</v>
      </c>
    </row>
    <row r="746" spans="1:12" ht="43.5" x14ac:dyDescent="0.35">
      <c r="A746" s="6" t="s">
        <v>291</v>
      </c>
      <c r="B746" s="6" t="s">
        <v>292</v>
      </c>
      <c r="C746" s="6" t="s">
        <v>377</v>
      </c>
      <c r="D746" s="11" t="s">
        <v>294</v>
      </c>
      <c r="E746" s="17" t="s">
        <v>75</v>
      </c>
      <c r="F746" s="17" t="s">
        <v>86</v>
      </c>
      <c r="G746" s="11" t="s">
        <v>103</v>
      </c>
      <c r="H746" s="11" t="s">
        <v>125</v>
      </c>
      <c r="I746" s="17" t="s">
        <v>296</v>
      </c>
      <c r="J746" s="17">
        <v>17.059312394142001</v>
      </c>
      <c r="K746" s="17">
        <v>-96.726157142717994</v>
      </c>
      <c r="L746" s="17" t="str">
        <f>HYPERLINK("https://maps.google.com/?q=17.059312394142,-96.726157142718", "🔗 Ver Mapa")</f>
        <v>🔗 Ver Mapa</v>
      </c>
    </row>
    <row r="747" spans="1:12" ht="43.5" x14ac:dyDescent="0.35">
      <c r="A747" s="5" t="s">
        <v>291</v>
      </c>
      <c r="B747" s="5" t="s">
        <v>292</v>
      </c>
      <c r="C747" s="5" t="s">
        <v>377</v>
      </c>
      <c r="D747" s="8" t="s">
        <v>294</v>
      </c>
      <c r="E747" s="16" t="s">
        <v>75</v>
      </c>
      <c r="F747" s="16" t="s">
        <v>86</v>
      </c>
      <c r="G747" s="8" t="s">
        <v>103</v>
      </c>
      <c r="H747" s="8" t="s">
        <v>125</v>
      </c>
      <c r="I747" s="16" t="s">
        <v>296</v>
      </c>
      <c r="J747" s="16">
        <v>17.059518947204001</v>
      </c>
      <c r="K747" s="16">
        <v>-96.727108361687996</v>
      </c>
      <c r="L747" s="16" t="str">
        <f>HYPERLINK("https://maps.google.com/?q=17.059518947204,-96.727108361688", "🔗 Ver Mapa")</f>
        <v>🔗 Ver Mapa</v>
      </c>
    </row>
    <row r="748" spans="1:12" ht="43.5" x14ac:dyDescent="0.35">
      <c r="A748" s="6" t="s">
        <v>291</v>
      </c>
      <c r="B748" s="6" t="s">
        <v>292</v>
      </c>
      <c r="C748" s="6" t="s">
        <v>377</v>
      </c>
      <c r="D748" s="11" t="s">
        <v>294</v>
      </c>
      <c r="E748" s="17" t="s">
        <v>75</v>
      </c>
      <c r="F748" s="17" t="s">
        <v>86</v>
      </c>
      <c r="G748" s="11" t="s">
        <v>103</v>
      </c>
      <c r="H748" s="11" t="s">
        <v>125</v>
      </c>
      <c r="I748" s="17" t="s">
        <v>296</v>
      </c>
      <c r="J748" s="17">
        <v>17.059913777262999</v>
      </c>
      <c r="K748" s="17">
        <v>-96.706872067253997</v>
      </c>
      <c r="L748" s="17" t="str">
        <f>HYPERLINK("https://maps.google.com/?q=17.059913777263,-96.706872067254", "🔗 Ver Mapa")</f>
        <v>🔗 Ver Mapa</v>
      </c>
    </row>
    <row r="749" spans="1:12" ht="43.5" x14ac:dyDescent="0.35">
      <c r="A749" s="5" t="s">
        <v>291</v>
      </c>
      <c r="B749" s="5" t="s">
        <v>292</v>
      </c>
      <c r="C749" s="5" t="s">
        <v>377</v>
      </c>
      <c r="D749" s="8" t="s">
        <v>294</v>
      </c>
      <c r="E749" s="16" t="s">
        <v>75</v>
      </c>
      <c r="F749" s="16" t="s">
        <v>86</v>
      </c>
      <c r="G749" s="8" t="s">
        <v>103</v>
      </c>
      <c r="H749" s="8" t="s">
        <v>125</v>
      </c>
      <c r="I749" s="16" t="s">
        <v>296</v>
      </c>
      <c r="J749" s="16">
        <v>17.060117878010001</v>
      </c>
      <c r="K749" s="16">
        <v>-96.729950851943002</v>
      </c>
      <c r="L749" s="16" t="str">
        <f>HYPERLINK("https://maps.google.com/?q=17.06011787801,-96.729950851943", "🔗 Ver Mapa")</f>
        <v>🔗 Ver Mapa</v>
      </c>
    </row>
    <row r="750" spans="1:12" ht="43.5" x14ac:dyDescent="0.35">
      <c r="A750" s="6" t="s">
        <v>291</v>
      </c>
      <c r="B750" s="6" t="s">
        <v>292</v>
      </c>
      <c r="C750" s="6" t="s">
        <v>377</v>
      </c>
      <c r="D750" s="11" t="s">
        <v>294</v>
      </c>
      <c r="E750" s="17" t="s">
        <v>75</v>
      </c>
      <c r="F750" s="17" t="s">
        <v>86</v>
      </c>
      <c r="G750" s="11" t="s">
        <v>103</v>
      </c>
      <c r="H750" s="11" t="s">
        <v>125</v>
      </c>
      <c r="I750" s="17" t="s">
        <v>296</v>
      </c>
      <c r="J750" s="17">
        <v>17.060161099999998</v>
      </c>
      <c r="K750" s="17">
        <v>-96.706030799999994</v>
      </c>
      <c r="L750" s="17" t="str">
        <f>HYPERLINK("https://maps.google.com/?q=17.0601611,-96.7060308", "🔗 Ver Mapa")</f>
        <v>🔗 Ver Mapa</v>
      </c>
    </row>
    <row r="751" spans="1:12" ht="43.5" x14ac:dyDescent="0.35">
      <c r="A751" s="5" t="s">
        <v>291</v>
      </c>
      <c r="B751" s="5" t="s">
        <v>292</v>
      </c>
      <c r="C751" s="5" t="s">
        <v>377</v>
      </c>
      <c r="D751" s="8" t="s">
        <v>294</v>
      </c>
      <c r="E751" s="16" t="s">
        <v>75</v>
      </c>
      <c r="F751" s="16" t="s">
        <v>86</v>
      </c>
      <c r="G751" s="8" t="s">
        <v>103</v>
      </c>
      <c r="H751" s="8" t="s">
        <v>125</v>
      </c>
      <c r="I751" s="16" t="s">
        <v>296</v>
      </c>
      <c r="J751" s="16">
        <v>17.060241300000001</v>
      </c>
      <c r="K751" s="16">
        <v>-96.706201699999994</v>
      </c>
      <c r="L751" s="16" t="str">
        <f>HYPERLINK("https://maps.google.com/?q=17.0602413,-96.7062017", "🔗 Ver Mapa")</f>
        <v>🔗 Ver Mapa</v>
      </c>
    </row>
    <row r="752" spans="1:12" ht="43.5" x14ac:dyDescent="0.35">
      <c r="A752" s="6" t="s">
        <v>291</v>
      </c>
      <c r="B752" s="6" t="s">
        <v>292</v>
      </c>
      <c r="C752" s="6" t="s">
        <v>377</v>
      </c>
      <c r="D752" s="11" t="s">
        <v>294</v>
      </c>
      <c r="E752" s="17" t="s">
        <v>75</v>
      </c>
      <c r="F752" s="17" t="s">
        <v>86</v>
      </c>
      <c r="G752" s="11" t="s">
        <v>103</v>
      </c>
      <c r="H752" s="11" t="s">
        <v>125</v>
      </c>
      <c r="I752" s="17" t="s">
        <v>296</v>
      </c>
      <c r="J752" s="17">
        <v>17.060264178924999</v>
      </c>
      <c r="K752" s="17">
        <v>-96.706201520877997</v>
      </c>
      <c r="L752" s="17" t="str">
        <f>HYPERLINK("https://maps.google.com/?q=17.060264178925,-96.706201520878", "🔗 Ver Mapa")</f>
        <v>🔗 Ver Mapa</v>
      </c>
    </row>
    <row r="753" spans="1:12" ht="43.5" x14ac:dyDescent="0.35">
      <c r="A753" s="5" t="s">
        <v>291</v>
      </c>
      <c r="B753" s="5" t="s">
        <v>292</v>
      </c>
      <c r="C753" s="5" t="s">
        <v>377</v>
      </c>
      <c r="D753" s="8" t="s">
        <v>294</v>
      </c>
      <c r="E753" s="16" t="s">
        <v>75</v>
      </c>
      <c r="F753" s="16" t="s">
        <v>86</v>
      </c>
      <c r="G753" s="8" t="s">
        <v>103</v>
      </c>
      <c r="H753" s="8" t="s">
        <v>125</v>
      </c>
      <c r="I753" s="16" t="s">
        <v>296</v>
      </c>
      <c r="J753" s="16">
        <v>17.06029821069</v>
      </c>
      <c r="K753" s="16">
        <v>-96.730873617669999</v>
      </c>
      <c r="L753" s="16" t="str">
        <f>HYPERLINK("https://maps.google.com/?q=17.06029821069,-96.73087361767", "🔗 Ver Mapa")</f>
        <v>🔗 Ver Mapa</v>
      </c>
    </row>
    <row r="754" spans="1:12" ht="43.5" x14ac:dyDescent="0.35">
      <c r="A754" s="6" t="s">
        <v>291</v>
      </c>
      <c r="B754" s="6" t="s">
        <v>292</v>
      </c>
      <c r="C754" s="6" t="s">
        <v>377</v>
      </c>
      <c r="D754" s="11" t="s">
        <v>294</v>
      </c>
      <c r="E754" s="17" t="s">
        <v>75</v>
      </c>
      <c r="F754" s="17" t="s">
        <v>86</v>
      </c>
      <c r="G754" s="11" t="s">
        <v>103</v>
      </c>
      <c r="H754" s="11" t="s">
        <v>125</v>
      </c>
      <c r="I754" s="17" t="s">
        <v>296</v>
      </c>
      <c r="J754" s="17">
        <v>17.060783600000001</v>
      </c>
      <c r="K754" s="17">
        <v>-96.705784800000004</v>
      </c>
      <c r="L754" s="17" t="str">
        <f>HYPERLINK("https://maps.google.com/?q=17.0607836,-96.7057848", "🔗 Ver Mapa")</f>
        <v>🔗 Ver Mapa</v>
      </c>
    </row>
    <row r="755" spans="1:12" ht="43.5" x14ac:dyDescent="0.35">
      <c r="A755" s="5" t="s">
        <v>291</v>
      </c>
      <c r="B755" s="5" t="s">
        <v>292</v>
      </c>
      <c r="C755" s="5" t="s">
        <v>377</v>
      </c>
      <c r="D755" s="8" t="s">
        <v>294</v>
      </c>
      <c r="E755" s="16" t="s">
        <v>75</v>
      </c>
      <c r="F755" s="16" t="s">
        <v>86</v>
      </c>
      <c r="G755" s="8" t="s">
        <v>103</v>
      </c>
      <c r="H755" s="8" t="s">
        <v>125</v>
      </c>
      <c r="I755" s="16" t="s">
        <v>296</v>
      </c>
      <c r="J755" s="16">
        <v>17.060851</v>
      </c>
      <c r="K755" s="16">
        <v>-96.706921500000007</v>
      </c>
      <c r="L755" s="16" t="str">
        <f>HYPERLINK("https://maps.google.com/?q=17.060851,-96.7069215", "🔗 Ver Mapa")</f>
        <v>🔗 Ver Mapa</v>
      </c>
    </row>
    <row r="756" spans="1:12" ht="43.5" x14ac:dyDescent="0.35">
      <c r="A756" s="6" t="s">
        <v>291</v>
      </c>
      <c r="B756" s="6" t="s">
        <v>292</v>
      </c>
      <c r="C756" s="6" t="s">
        <v>377</v>
      </c>
      <c r="D756" s="11" t="s">
        <v>294</v>
      </c>
      <c r="E756" s="17" t="s">
        <v>75</v>
      </c>
      <c r="F756" s="17" t="s">
        <v>86</v>
      </c>
      <c r="G756" s="11" t="s">
        <v>103</v>
      </c>
      <c r="H756" s="11" t="s">
        <v>125</v>
      </c>
      <c r="I756" s="17" t="s">
        <v>296</v>
      </c>
      <c r="J756" s="17">
        <v>17.060857846585002</v>
      </c>
      <c r="K756" s="17">
        <v>-96.706967063773007</v>
      </c>
      <c r="L756" s="17" t="str">
        <f>HYPERLINK("https://maps.google.com/?q=17.060857846585,-96.706967063773", "🔗 Ver Mapa")</f>
        <v>🔗 Ver Mapa</v>
      </c>
    </row>
    <row r="757" spans="1:12" ht="43.5" x14ac:dyDescent="0.35">
      <c r="A757" s="5" t="s">
        <v>291</v>
      </c>
      <c r="B757" s="5" t="s">
        <v>292</v>
      </c>
      <c r="C757" s="5" t="s">
        <v>377</v>
      </c>
      <c r="D757" s="8" t="s">
        <v>294</v>
      </c>
      <c r="E757" s="16" t="s">
        <v>75</v>
      </c>
      <c r="F757" s="16" t="s">
        <v>86</v>
      </c>
      <c r="G757" s="8" t="s">
        <v>103</v>
      </c>
      <c r="H757" s="8" t="s">
        <v>125</v>
      </c>
      <c r="I757" s="16" t="s">
        <v>296</v>
      </c>
      <c r="J757" s="16">
        <v>17.061204721576001</v>
      </c>
      <c r="K757" s="16">
        <v>-96.730748347521995</v>
      </c>
      <c r="L757" s="16" t="str">
        <f>HYPERLINK("https://maps.google.com/?q=17.061204721576,-96.730748347522", "🔗 Ver Mapa")</f>
        <v>🔗 Ver Mapa</v>
      </c>
    </row>
    <row r="758" spans="1:12" ht="43.5" x14ac:dyDescent="0.35">
      <c r="A758" s="6" t="s">
        <v>291</v>
      </c>
      <c r="B758" s="6" t="s">
        <v>292</v>
      </c>
      <c r="C758" s="6" t="s">
        <v>377</v>
      </c>
      <c r="D758" s="11" t="s">
        <v>294</v>
      </c>
      <c r="E758" s="17" t="s">
        <v>75</v>
      </c>
      <c r="F758" s="17" t="s">
        <v>86</v>
      </c>
      <c r="G758" s="11" t="s">
        <v>103</v>
      </c>
      <c r="H758" s="11" t="s">
        <v>125</v>
      </c>
      <c r="I758" s="17" t="s">
        <v>296</v>
      </c>
      <c r="J758" s="17">
        <v>17.061227223405002</v>
      </c>
      <c r="K758" s="17">
        <v>-96.732068208889004</v>
      </c>
      <c r="L758" s="17" t="str">
        <f>HYPERLINK("https://maps.google.com/?q=17.061227223405,-96.732068208889", "🔗 Ver Mapa")</f>
        <v>🔗 Ver Mapa</v>
      </c>
    </row>
    <row r="759" spans="1:12" ht="43.5" x14ac:dyDescent="0.35">
      <c r="A759" s="5" t="s">
        <v>291</v>
      </c>
      <c r="B759" s="5" t="s">
        <v>292</v>
      </c>
      <c r="C759" s="5" t="s">
        <v>377</v>
      </c>
      <c r="D759" s="8" t="s">
        <v>294</v>
      </c>
      <c r="E759" s="16" t="s">
        <v>75</v>
      </c>
      <c r="F759" s="16" t="s">
        <v>86</v>
      </c>
      <c r="G759" s="8" t="s">
        <v>103</v>
      </c>
      <c r="H759" s="8" t="s">
        <v>125</v>
      </c>
      <c r="I759" s="16" t="s">
        <v>296</v>
      </c>
      <c r="J759" s="16">
        <v>17.061401911636999</v>
      </c>
      <c r="K759" s="16">
        <v>-96.706244838027999</v>
      </c>
      <c r="L759" s="16" t="str">
        <f>HYPERLINK("https://maps.google.com/?q=17.061401911637,-96.706244838028", "🔗 Ver Mapa")</f>
        <v>🔗 Ver Mapa</v>
      </c>
    </row>
    <row r="760" spans="1:12" ht="43.5" x14ac:dyDescent="0.35">
      <c r="A760" s="6" t="s">
        <v>291</v>
      </c>
      <c r="B760" s="6" t="s">
        <v>292</v>
      </c>
      <c r="C760" s="6" t="s">
        <v>377</v>
      </c>
      <c r="D760" s="11" t="s">
        <v>294</v>
      </c>
      <c r="E760" s="17" t="s">
        <v>75</v>
      </c>
      <c r="F760" s="17" t="s">
        <v>86</v>
      </c>
      <c r="G760" s="11" t="s">
        <v>103</v>
      </c>
      <c r="H760" s="11" t="s">
        <v>125</v>
      </c>
      <c r="I760" s="17" t="s">
        <v>296</v>
      </c>
      <c r="J760" s="17">
        <v>17.061980479054</v>
      </c>
      <c r="K760" s="17">
        <v>-96.731925294928004</v>
      </c>
      <c r="L760" s="17" t="str">
        <f>HYPERLINK("https://maps.google.com/?q=17.061980479054,-96.731925294928", "🔗 Ver Mapa")</f>
        <v>🔗 Ver Mapa</v>
      </c>
    </row>
    <row r="761" spans="1:12" ht="43.5" x14ac:dyDescent="0.35">
      <c r="A761" s="5" t="s">
        <v>291</v>
      </c>
      <c r="B761" s="5" t="s">
        <v>292</v>
      </c>
      <c r="C761" s="5" t="s">
        <v>377</v>
      </c>
      <c r="D761" s="8" t="s">
        <v>294</v>
      </c>
      <c r="E761" s="16" t="s">
        <v>75</v>
      </c>
      <c r="F761" s="16" t="s">
        <v>86</v>
      </c>
      <c r="G761" s="8" t="s">
        <v>103</v>
      </c>
      <c r="H761" s="8" t="s">
        <v>125</v>
      </c>
      <c r="I761" s="16" t="s">
        <v>296</v>
      </c>
      <c r="J761" s="16">
        <v>17.061982025915</v>
      </c>
      <c r="K761" s="16">
        <v>-96.731922314654994</v>
      </c>
      <c r="L761" s="16" t="str">
        <f>HYPERLINK("https://maps.google.com/?q=17.061982025915,-96.731922314655", "🔗 Ver Mapa")</f>
        <v>🔗 Ver Mapa</v>
      </c>
    </row>
    <row r="762" spans="1:12" ht="43.5" x14ac:dyDescent="0.35">
      <c r="A762" s="6" t="s">
        <v>291</v>
      </c>
      <c r="B762" s="6" t="s">
        <v>292</v>
      </c>
      <c r="C762" s="6" t="s">
        <v>377</v>
      </c>
      <c r="D762" s="11" t="s">
        <v>294</v>
      </c>
      <c r="E762" s="17" t="s">
        <v>75</v>
      </c>
      <c r="F762" s="17" t="s">
        <v>86</v>
      </c>
      <c r="G762" s="11" t="s">
        <v>103</v>
      </c>
      <c r="H762" s="11" t="s">
        <v>125</v>
      </c>
      <c r="I762" s="17" t="s">
        <v>296</v>
      </c>
      <c r="J762" s="17">
        <v>17.062432268590999</v>
      </c>
      <c r="K762" s="17">
        <v>-96.731856028642</v>
      </c>
      <c r="L762" s="17" t="str">
        <f>HYPERLINK("https://maps.google.com/?q=17.062432268591,-96.731856028642", "🔗 Ver Mapa")</f>
        <v>🔗 Ver Mapa</v>
      </c>
    </row>
    <row r="763" spans="1:12" ht="43.5" x14ac:dyDescent="0.35">
      <c r="A763" s="5" t="s">
        <v>291</v>
      </c>
      <c r="B763" s="5" t="s">
        <v>292</v>
      </c>
      <c r="C763" s="5" t="s">
        <v>377</v>
      </c>
      <c r="D763" s="8" t="s">
        <v>294</v>
      </c>
      <c r="E763" s="16" t="s">
        <v>75</v>
      </c>
      <c r="F763" s="16" t="s">
        <v>86</v>
      </c>
      <c r="G763" s="8" t="s">
        <v>103</v>
      </c>
      <c r="H763" s="8" t="s">
        <v>125</v>
      </c>
      <c r="I763" s="16" t="s">
        <v>296</v>
      </c>
      <c r="J763" s="16">
        <v>17.06296194079</v>
      </c>
      <c r="K763" s="16">
        <v>-96.735235414187997</v>
      </c>
      <c r="L763" s="16" t="str">
        <f>HYPERLINK("https://maps.google.com/?q=17.06296194079,-96.735235414188", "🔗 Ver Mapa")</f>
        <v>🔗 Ver Mapa</v>
      </c>
    </row>
    <row r="764" spans="1:12" ht="43.5" x14ac:dyDescent="0.35">
      <c r="A764" s="6" t="s">
        <v>291</v>
      </c>
      <c r="B764" s="6" t="s">
        <v>292</v>
      </c>
      <c r="C764" s="6" t="s">
        <v>377</v>
      </c>
      <c r="D764" s="11" t="s">
        <v>294</v>
      </c>
      <c r="E764" s="17" t="s">
        <v>75</v>
      </c>
      <c r="F764" s="17" t="s">
        <v>86</v>
      </c>
      <c r="G764" s="11" t="s">
        <v>103</v>
      </c>
      <c r="H764" s="11" t="s">
        <v>125</v>
      </c>
      <c r="I764" s="17" t="s">
        <v>296</v>
      </c>
      <c r="J764" s="17">
        <v>17.062993599794002</v>
      </c>
      <c r="K764" s="17">
        <v>-96.735093960618997</v>
      </c>
      <c r="L764" s="17" t="str">
        <f>HYPERLINK("https://maps.google.com/?q=17.062993599794,-96.735093960619", "🔗 Ver Mapa")</f>
        <v>🔗 Ver Mapa</v>
      </c>
    </row>
    <row r="765" spans="1:12" ht="43.5" x14ac:dyDescent="0.35">
      <c r="A765" s="5" t="s">
        <v>291</v>
      </c>
      <c r="B765" s="5" t="s">
        <v>292</v>
      </c>
      <c r="C765" s="5" t="s">
        <v>377</v>
      </c>
      <c r="D765" s="8" t="s">
        <v>294</v>
      </c>
      <c r="E765" s="16" t="s">
        <v>75</v>
      </c>
      <c r="F765" s="16" t="s">
        <v>86</v>
      </c>
      <c r="G765" s="8" t="s">
        <v>103</v>
      </c>
      <c r="H765" s="8" t="s">
        <v>125</v>
      </c>
      <c r="I765" s="16" t="s">
        <v>296</v>
      </c>
      <c r="J765" s="16">
        <v>17.063468852660002</v>
      </c>
      <c r="K765" s="16">
        <v>-96.732462102718998</v>
      </c>
      <c r="L765" s="16" t="str">
        <f>HYPERLINK("https://maps.google.com/?q=17.06346885266,-96.732462102719", "🔗 Ver Mapa")</f>
        <v>🔗 Ver Mapa</v>
      </c>
    </row>
    <row r="766" spans="1:12" ht="43.5" x14ac:dyDescent="0.35">
      <c r="A766" s="6" t="s">
        <v>291</v>
      </c>
      <c r="B766" s="6" t="s">
        <v>292</v>
      </c>
      <c r="C766" s="6" t="s">
        <v>377</v>
      </c>
      <c r="D766" s="11" t="s">
        <v>294</v>
      </c>
      <c r="E766" s="17" t="s">
        <v>75</v>
      </c>
      <c r="F766" s="17" t="s">
        <v>86</v>
      </c>
      <c r="G766" s="11" t="s">
        <v>103</v>
      </c>
      <c r="H766" s="11" t="s">
        <v>125</v>
      </c>
      <c r="I766" s="17" t="s">
        <v>296</v>
      </c>
      <c r="J766" s="17">
        <v>17.063495955334002</v>
      </c>
      <c r="K766" s="17">
        <v>-96.732724185224995</v>
      </c>
      <c r="L766" s="17" t="str">
        <f>HYPERLINK("https://maps.google.com/?q=17.063495955334,-96.732724185225", "🔗 Ver Mapa")</f>
        <v>🔗 Ver Mapa</v>
      </c>
    </row>
    <row r="767" spans="1:12" ht="43.5" x14ac:dyDescent="0.35">
      <c r="A767" s="5" t="s">
        <v>291</v>
      </c>
      <c r="B767" s="5" t="s">
        <v>292</v>
      </c>
      <c r="C767" s="5" t="s">
        <v>377</v>
      </c>
      <c r="D767" s="8" t="s">
        <v>294</v>
      </c>
      <c r="E767" s="16" t="s">
        <v>75</v>
      </c>
      <c r="F767" s="16" t="s">
        <v>86</v>
      </c>
      <c r="G767" s="8" t="s">
        <v>103</v>
      </c>
      <c r="H767" s="8" t="s">
        <v>125</v>
      </c>
      <c r="I767" s="16" t="s">
        <v>296</v>
      </c>
      <c r="J767" s="16">
        <v>17.063873586932001</v>
      </c>
      <c r="K767" s="16">
        <v>-96.733272680379002</v>
      </c>
      <c r="L767" s="16" t="str">
        <f>HYPERLINK("https://maps.google.com/?q=17.063873586932,-96.733272680379", "🔗 Ver Mapa")</f>
        <v>🔗 Ver Mapa</v>
      </c>
    </row>
    <row r="768" spans="1:12" ht="43.5" x14ac:dyDescent="0.35">
      <c r="A768" s="6" t="s">
        <v>291</v>
      </c>
      <c r="B768" s="6" t="s">
        <v>292</v>
      </c>
      <c r="C768" s="6" t="s">
        <v>377</v>
      </c>
      <c r="D768" s="11" t="s">
        <v>294</v>
      </c>
      <c r="E768" s="17" t="s">
        <v>75</v>
      </c>
      <c r="F768" s="17" t="s">
        <v>86</v>
      </c>
      <c r="G768" s="11" t="s">
        <v>103</v>
      </c>
      <c r="H768" s="11" t="s">
        <v>125</v>
      </c>
      <c r="I768" s="17" t="s">
        <v>296</v>
      </c>
      <c r="J768" s="17">
        <v>17.064441521323001</v>
      </c>
      <c r="K768" s="17">
        <v>-96.733963652365006</v>
      </c>
      <c r="L768" s="17" t="str">
        <f>HYPERLINK("https://maps.google.com/?q=17.064441521323,-96.733963652365", "🔗 Ver Mapa")</f>
        <v>🔗 Ver Mapa</v>
      </c>
    </row>
    <row r="769" spans="1:12" ht="43.5" x14ac:dyDescent="0.35">
      <c r="A769" s="5" t="s">
        <v>291</v>
      </c>
      <c r="B769" s="5" t="s">
        <v>292</v>
      </c>
      <c r="C769" s="5" t="s">
        <v>377</v>
      </c>
      <c r="D769" s="8" t="s">
        <v>294</v>
      </c>
      <c r="E769" s="16" t="s">
        <v>75</v>
      </c>
      <c r="F769" s="16" t="s">
        <v>86</v>
      </c>
      <c r="G769" s="8" t="s">
        <v>103</v>
      </c>
      <c r="H769" s="8" t="s">
        <v>125</v>
      </c>
      <c r="I769" s="16" t="s">
        <v>296</v>
      </c>
      <c r="J769" s="16">
        <v>17.065278185514</v>
      </c>
      <c r="K769" s="16">
        <v>-96.734659951904007</v>
      </c>
      <c r="L769" s="16" t="str">
        <f>HYPERLINK("https://maps.google.com/?q=17.065278185514,-96.734659951904", "🔗 Ver Mapa")</f>
        <v>🔗 Ver Mapa</v>
      </c>
    </row>
    <row r="770" spans="1:12" ht="43.5" x14ac:dyDescent="0.35">
      <c r="A770" s="6" t="s">
        <v>291</v>
      </c>
      <c r="B770" s="6" t="s">
        <v>292</v>
      </c>
      <c r="C770" s="6" t="s">
        <v>377</v>
      </c>
      <c r="D770" s="11" t="s">
        <v>294</v>
      </c>
      <c r="E770" s="17" t="s">
        <v>75</v>
      </c>
      <c r="F770" s="17" t="s">
        <v>86</v>
      </c>
      <c r="G770" s="11" t="s">
        <v>103</v>
      </c>
      <c r="H770" s="11" t="s">
        <v>125</v>
      </c>
      <c r="I770" s="17" t="s">
        <v>296</v>
      </c>
      <c r="J770" s="17">
        <v>17.065399814281001</v>
      </c>
      <c r="K770" s="17">
        <v>-96.721846731816001</v>
      </c>
      <c r="L770" s="17" t="str">
        <f>HYPERLINK("https://maps.google.com/?q=17.065399814281,-96.721846731816", "🔗 Ver Mapa")</f>
        <v>🔗 Ver Mapa</v>
      </c>
    </row>
    <row r="771" spans="1:12" ht="43.5" x14ac:dyDescent="0.35">
      <c r="A771" s="5" t="s">
        <v>291</v>
      </c>
      <c r="B771" s="5" t="s">
        <v>292</v>
      </c>
      <c r="C771" s="5" t="s">
        <v>377</v>
      </c>
      <c r="D771" s="8" t="s">
        <v>294</v>
      </c>
      <c r="E771" s="16" t="s">
        <v>75</v>
      </c>
      <c r="F771" s="16" t="s">
        <v>86</v>
      </c>
      <c r="G771" s="8" t="s">
        <v>103</v>
      </c>
      <c r="H771" s="8" t="s">
        <v>125</v>
      </c>
      <c r="I771" s="16" t="s">
        <v>296</v>
      </c>
      <c r="J771" s="16">
        <v>17.065705972633999</v>
      </c>
      <c r="K771" s="16">
        <v>-96.723777389790996</v>
      </c>
      <c r="L771" s="16" t="str">
        <f>HYPERLINK("https://maps.google.com/?q=17.065705972634,-96.723777389791", "🔗 Ver Mapa")</f>
        <v>🔗 Ver Mapa</v>
      </c>
    </row>
    <row r="772" spans="1:12" ht="43.5" x14ac:dyDescent="0.35">
      <c r="A772" s="6" t="s">
        <v>291</v>
      </c>
      <c r="B772" s="6" t="s">
        <v>292</v>
      </c>
      <c r="C772" s="6" t="s">
        <v>377</v>
      </c>
      <c r="D772" s="11" t="s">
        <v>294</v>
      </c>
      <c r="E772" s="17" t="s">
        <v>75</v>
      </c>
      <c r="F772" s="17" t="s">
        <v>86</v>
      </c>
      <c r="G772" s="11" t="s">
        <v>103</v>
      </c>
      <c r="H772" s="11" t="s">
        <v>125</v>
      </c>
      <c r="I772" s="17" t="s">
        <v>296</v>
      </c>
      <c r="J772" s="17">
        <v>17.066395738419999</v>
      </c>
      <c r="K772" s="17">
        <v>-96.735418731817006</v>
      </c>
      <c r="L772" s="17" t="str">
        <f>HYPERLINK("https://maps.google.com/?q=17.06639573842,-96.735418731817", "🔗 Ver Mapa")</f>
        <v>🔗 Ver Mapa</v>
      </c>
    </row>
    <row r="773" spans="1:12" ht="43.5" x14ac:dyDescent="0.35">
      <c r="A773" s="5" t="s">
        <v>291</v>
      </c>
      <c r="B773" s="5" t="s">
        <v>292</v>
      </c>
      <c r="C773" s="5" t="s">
        <v>377</v>
      </c>
      <c r="D773" s="8" t="s">
        <v>294</v>
      </c>
      <c r="E773" s="16" t="s">
        <v>75</v>
      </c>
      <c r="F773" s="16" t="s">
        <v>86</v>
      </c>
      <c r="G773" s="8" t="s">
        <v>103</v>
      </c>
      <c r="H773" s="8" t="s">
        <v>125</v>
      </c>
      <c r="I773" s="16" t="s">
        <v>296</v>
      </c>
      <c r="J773" s="16">
        <v>17.067003797365999</v>
      </c>
      <c r="K773" s="16">
        <v>-96.723551845242994</v>
      </c>
      <c r="L773" s="16" t="str">
        <f>HYPERLINK("https://maps.google.com/?q=17.067003797366,-96.723551845243", "🔗 Ver Mapa")</f>
        <v>🔗 Ver Mapa</v>
      </c>
    </row>
    <row r="774" spans="1:12" ht="43.5" x14ac:dyDescent="0.35">
      <c r="A774" s="6" t="s">
        <v>291</v>
      </c>
      <c r="B774" s="6" t="s">
        <v>292</v>
      </c>
      <c r="C774" s="6" t="s">
        <v>377</v>
      </c>
      <c r="D774" s="11" t="s">
        <v>294</v>
      </c>
      <c r="E774" s="17" t="s">
        <v>75</v>
      </c>
      <c r="F774" s="17" t="s">
        <v>86</v>
      </c>
      <c r="G774" s="11" t="s">
        <v>103</v>
      </c>
      <c r="H774" s="11" t="s">
        <v>125</v>
      </c>
      <c r="I774" s="17" t="s">
        <v>296</v>
      </c>
      <c r="J774" s="17">
        <v>17.067286460228999</v>
      </c>
      <c r="K774" s="17">
        <v>-96.721512417819</v>
      </c>
      <c r="L774" s="17" t="str">
        <f>HYPERLINK("https://maps.google.com/?q=17.067286460229,-96.721512417819", "🔗 Ver Mapa")</f>
        <v>🔗 Ver Mapa</v>
      </c>
    </row>
    <row r="775" spans="1:12" ht="43.5" x14ac:dyDescent="0.35">
      <c r="A775" s="5" t="s">
        <v>291</v>
      </c>
      <c r="B775" s="5" t="s">
        <v>292</v>
      </c>
      <c r="C775" s="5" t="s">
        <v>377</v>
      </c>
      <c r="D775" s="8" t="s">
        <v>294</v>
      </c>
      <c r="E775" s="16" t="s">
        <v>75</v>
      </c>
      <c r="F775" s="16" t="s">
        <v>86</v>
      </c>
      <c r="G775" s="8" t="s">
        <v>103</v>
      </c>
      <c r="H775" s="8" t="s">
        <v>125</v>
      </c>
      <c r="I775" s="16" t="s">
        <v>296</v>
      </c>
      <c r="J775" s="16">
        <v>17.067287082317002</v>
      </c>
      <c r="K775" s="16">
        <v>-96.721448434015997</v>
      </c>
      <c r="L775" s="16" t="str">
        <f>HYPERLINK("https://maps.google.com/?q=17.067287082317,-96.721448434016", "🔗 Ver Mapa")</f>
        <v>🔗 Ver Mapa</v>
      </c>
    </row>
    <row r="776" spans="1:12" ht="43.5" x14ac:dyDescent="0.35">
      <c r="A776" s="6" t="s">
        <v>291</v>
      </c>
      <c r="B776" s="6" t="s">
        <v>292</v>
      </c>
      <c r="C776" s="6" t="s">
        <v>377</v>
      </c>
      <c r="D776" s="11" t="s">
        <v>294</v>
      </c>
      <c r="E776" s="17" t="s">
        <v>75</v>
      </c>
      <c r="F776" s="17" t="s">
        <v>86</v>
      </c>
      <c r="G776" s="11" t="s">
        <v>103</v>
      </c>
      <c r="H776" s="11" t="s">
        <v>125</v>
      </c>
      <c r="I776" s="17" t="s">
        <v>296</v>
      </c>
      <c r="J776" s="17">
        <v>17.067614586424</v>
      </c>
      <c r="K776" s="17">
        <v>-96.723393742699002</v>
      </c>
      <c r="L776" s="17" t="str">
        <f>HYPERLINK("https://maps.google.com/?q=17.067614586424,-96.723393742699", "🔗 Ver Mapa")</f>
        <v>🔗 Ver Mapa</v>
      </c>
    </row>
    <row r="777" spans="1:12" ht="43.5" x14ac:dyDescent="0.35">
      <c r="A777" s="5" t="s">
        <v>291</v>
      </c>
      <c r="B777" s="5" t="s">
        <v>292</v>
      </c>
      <c r="C777" s="5" t="s">
        <v>377</v>
      </c>
      <c r="D777" s="8" t="s">
        <v>294</v>
      </c>
      <c r="E777" s="16" t="s">
        <v>75</v>
      </c>
      <c r="F777" s="16" t="s">
        <v>86</v>
      </c>
      <c r="G777" s="8" t="s">
        <v>103</v>
      </c>
      <c r="H777" s="8" t="s">
        <v>125</v>
      </c>
      <c r="I777" s="16" t="s">
        <v>296</v>
      </c>
      <c r="J777" s="16">
        <v>17.067891956179999</v>
      </c>
      <c r="K777" s="16">
        <v>-96.722453587689003</v>
      </c>
      <c r="L777" s="16" t="str">
        <f>HYPERLINK("https://maps.google.com/?q=17.06789195618,-96.722453587689", "🔗 Ver Mapa")</f>
        <v>🔗 Ver Mapa</v>
      </c>
    </row>
    <row r="778" spans="1:12" ht="43.5" x14ac:dyDescent="0.35">
      <c r="A778" s="6" t="s">
        <v>291</v>
      </c>
      <c r="B778" s="6" t="s">
        <v>292</v>
      </c>
      <c r="C778" s="6" t="s">
        <v>377</v>
      </c>
      <c r="D778" s="11" t="s">
        <v>294</v>
      </c>
      <c r="E778" s="17" t="s">
        <v>75</v>
      </c>
      <c r="F778" s="17" t="s">
        <v>86</v>
      </c>
      <c r="G778" s="11" t="s">
        <v>103</v>
      </c>
      <c r="H778" s="11" t="s">
        <v>125</v>
      </c>
      <c r="I778" s="17" t="s">
        <v>296</v>
      </c>
      <c r="J778" s="17">
        <v>17.067970277061999</v>
      </c>
      <c r="K778" s="17">
        <v>-96.736363465891003</v>
      </c>
      <c r="L778" s="17" t="str">
        <f>HYPERLINK("https://maps.google.com/?q=17.067970277062,-96.736363465891", "🔗 Ver Mapa")</f>
        <v>🔗 Ver Mapa</v>
      </c>
    </row>
    <row r="779" spans="1:12" ht="43.5" x14ac:dyDescent="0.35">
      <c r="A779" s="5" t="s">
        <v>291</v>
      </c>
      <c r="B779" s="5" t="s">
        <v>292</v>
      </c>
      <c r="C779" s="5" t="s">
        <v>377</v>
      </c>
      <c r="D779" s="8" t="s">
        <v>294</v>
      </c>
      <c r="E779" s="16" t="s">
        <v>75</v>
      </c>
      <c r="F779" s="16" t="s">
        <v>86</v>
      </c>
      <c r="G779" s="8" t="s">
        <v>103</v>
      </c>
      <c r="H779" s="8" t="s">
        <v>125</v>
      </c>
      <c r="I779" s="16" t="s">
        <v>296</v>
      </c>
      <c r="J779" s="16">
        <v>17.068302024912999</v>
      </c>
      <c r="K779" s="16">
        <v>-96.722376031051994</v>
      </c>
      <c r="L779" s="16" t="str">
        <f>HYPERLINK("https://maps.google.com/?q=17.068302024913,-96.722376031052", "🔗 Ver Mapa")</f>
        <v>🔗 Ver Mapa</v>
      </c>
    </row>
    <row r="780" spans="1:12" ht="43.5" x14ac:dyDescent="0.35">
      <c r="A780" s="6" t="s">
        <v>291</v>
      </c>
      <c r="B780" s="6" t="s">
        <v>292</v>
      </c>
      <c r="C780" s="6" t="s">
        <v>377</v>
      </c>
      <c r="D780" s="11" t="s">
        <v>294</v>
      </c>
      <c r="E780" s="17" t="s">
        <v>75</v>
      </c>
      <c r="F780" s="17" t="s">
        <v>86</v>
      </c>
      <c r="G780" s="11" t="s">
        <v>103</v>
      </c>
      <c r="H780" s="11" t="s">
        <v>125</v>
      </c>
      <c r="I780" s="17" t="s">
        <v>296</v>
      </c>
      <c r="J780" s="17">
        <v>17.069421154089</v>
      </c>
      <c r="K780" s="17">
        <v>-96.737280930064998</v>
      </c>
      <c r="L780" s="17" t="str">
        <f>HYPERLINK("https://maps.google.com/?q=17.069421154089,-96.737280930065", "🔗 Ver Mapa")</f>
        <v>🔗 Ver Mapa</v>
      </c>
    </row>
    <row r="781" spans="1:12" ht="43.5" x14ac:dyDescent="0.35">
      <c r="A781" s="5" t="s">
        <v>291</v>
      </c>
      <c r="B781" s="5" t="s">
        <v>292</v>
      </c>
      <c r="C781" s="5" t="s">
        <v>377</v>
      </c>
      <c r="D781" s="8" t="s">
        <v>294</v>
      </c>
      <c r="E781" s="16" t="s">
        <v>75</v>
      </c>
      <c r="F781" s="16" t="s">
        <v>86</v>
      </c>
      <c r="G781" s="8" t="s">
        <v>103</v>
      </c>
      <c r="H781" s="8" t="s">
        <v>125</v>
      </c>
      <c r="I781" s="16" t="s">
        <v>296</v>
      </c>
      <c r="J781" s="16">
        <v>17.069805772894998</v>
      </c>
      <c r="K781" s="16">
        <v>-96.737437079504005</v>
      </c>
      <c r="L781" s="16" t="str">
        <f>HYPERLINK("https://maps.google.com/?q=17.069805772895,-96.737437079504", "🔗 Ver Mapa")</f>
        <v>🔗 Ver Mapa</v>
      </c>
    </row>
    <row r="782" spans="1:12" ht="43.5" x14ac:dyDescent="0.35">
      <c r="A782" s="6" t="s">
        <v>291</v>
      </c>
      <c r="B782" s="6" t="s">
        <v>292</v>
      </c>
      <c r="C782" s="6" t="s">
        <v>377</v>
      </c>
      <c r="D782" s="11" t="s">
        <v>294</v>
      </c>
      <c r="E782" s="17" t="s">
        <v>75</v>
      </c>
      <c r="F782" s="17" t="s">
        <v>86</v>
      </c>
      <c r="G782" s="11" t="s">
        <v>103</v>
      </c>
      <c r="H782" s="11" t="s">
        <v>125</v>
      </c>
      <c r="I782" s="17" t="s">
        <v>296</v>
      </c>
      <c r="J782" s="17">
        <v>17.071234638520998</v>
      </c>
      <c r="K782" s="17">
        <v>-96.737978564299993</v>
      </c>
      <c r="L782" s="17" t="str">
        <f>HYPERLINK("https://maps.google.com/?q=17.071234638521,-96.7379785643", "🔗 Ver Mapa")</f>
        <v>🔗 Ver Mapa</v>
      </c>
    </row>
    <row r="783" spans="1:12" ht="43.5" x14ac:dyDescent="0.35">
      <c r="A783" s="5" t="s">
        <v>291</v>
      </c>
      <c r="B783" s="5" t="s">
        <v>292</v>
      </c>
      <c r="C783" s="5" t="s">
        <v>377</v>
      </c>
      <c r="D783" s="8" t="s">
        <v>294</v>
      </c>
      <c r="E783" s="16" t="s">
        <v>75</v>
      </c>
      <c r="F783" s="16" t="s">
        <v>86</v>
      </c>
      <c r="G783" s="8" t="s">
        <v>103</v>
      </c>
      <c r="H783" s="8" t="s">
        <v>125</v>
      </c>
      <c r="I783" s="16" t="s">
        <v>296</v>
      </c>
      <c r="J783" s="16">
        <v>17.072451257310998</v>
      </c>
      <c r="K783" s="16">
        <v>-96.738599197427007</v>
      </c>
      <c r="L783" s="16" t="str">
        <f>HYPERLINK("https://maps.google.com/?q=17.072451257311,-96.738599197427", "🔗 Ver Mapa")</f>
        <v>🔗 Ver Mapa</v>
      </c>
    </row>
    <row r="784" spans="1:12" ht="43.5" x14ac:dyDescent="0.35">
      <c r="A784" s="6" t="s">
        <v>291</v>
      </c>
      <c r="B784" s="6" t="s">
        <v>292</v>
      </c>
      <c r="C784" s="6" t="s">
        <v>377</v>
      </c>
      <c r="D784" s="11" t="s">
        <v>294</v>
      </c>
      <c r="E784" s="17" t="s">
        <v>75</v>
      </c>
      <c r="F784" s="17" t="s">
        <v>86</v>
      </c>
      <c r="G784" s="11" t="s">
        <v>103</v>
      </c>
      <c r="H784" s="11" t="s">
        <v>125</v>
      </c>
      <c r="I784" s="17" t="s">
        <v>296</v>
      </c>
      <c r="J784" s="17">
        <v>17.072981365895</v>
      </c>
      <c r="K784" s="17">
        <v>-96.738980737223002</v>
      </c>
      <c r="L784" s="17" t="str">
        <f>HYPERLINK("https://maps.google.com/?q=17.072981365895,-96.738980737223", "🔗 Ver Mapa")</f>
        <v>🔗 Ver Mapa</v>
      </c>
    </row>
    <row r="785" spans="1:12" ht="43.5" x14ac:dyDescent="0.35">
      <c r="A785" s="5" t="s">
        <v>291</v>
      </c>
      <c r="B785" s="5" t="s">
        <v>292</v>
      </c>
      <c r="C785" s="5" t="s">
        <v>377</v>
      </c>
      <c r="D785" s="8" t="s">
        <v>294</v>
      </c>
      <c r="E785" s="16" t="s">
        <v>75</v>
      </c>
      <c r="F785" s="16" t="s">
        <v>86</v>
      </c>
      <c r="G785" s="8" t="s">
        <v>103</v>
      </c>
      <c r="H785" s="8" t="s">
        <v>125</v>
      </c>
      <c r="I785" s="16" t="s">
        <v>296</v>
      </c>
      <c r="J785" s="16">
        <v>17.073235914243</v>
      </c>
      <c r="K785" s="16">
        <v>-96.739172147299001</v>
      </c>
      <c r="L785" s="16" t="str">
        <f>HYPERLINK("https://maps.google.com/?q=17.073235914243,-96.739172147299", "🔗 Ver Mapa")</f>
        <v>🔗 Ver Mapa</v>
      </c>
    </row>
    <row r="786" spans="1:12" ht="43.5" x14ac:dyDescent="0.35">
      <c r="A786" s="6" t="s">
        <v>291</v>
      </c>
      <c r="B786" s="6" t="s">
        <v>292</v>
      </c>
      <c r="C786" s="6" t="s">
        <v>377</v>
      </c>
      <c r="D786" s="11" t="s">
        <v>294</v>
      </c>
      <c r="E786" s="17" t="s">
        <v>75</v>
      </c>
      <c r="F786" s="17" t="s">
        <v>86</v>
      </c>
      <c r="G786" s="11" t="s">
        <v>103</v>
      </c>
      <c r="H786" s="11" t="s">
        <v>125</v>
      </c>
      <c r="I786" s="17" t="s">
        <v>296</v>
      </c>
      <c r="J786" s="17">
        <v>17.073365993094001</v>
      </c>
      <c r="K786" s="17">
        <v>-96.739295812552996</v>
      </c>
      <c r="L786" s="17" t="str">
        <f>HYPERLINK("https://maps.google.com/?q=17.073365993094,-96.739295812553", "🔗 Ver Mapa")</f>
        <v>🔗 Ver Mapa</v>
      </c>
    </row>
    <row r="787" spans="1:12" ht="43.5" x14ac:dyDescent="0.35">
      <c r="A787" s="5" t="s">
        <v>291</v>
      </c>
      <c r="B787" s="5" t="s">
        <v>292</v>
      </c>
      <c r="C787" s="5" t="s">
        <v>377</v>
      </c>
      <c r="D787" s="8" t="s">
        <v>294</v>
      </c>
      <c r="E787" s="16" t="s">
        <v>75</v>
      </c>
      <c r="F787" s="16" t="s">
        <v>86</v>
      </c>
      <c r="G787" s="8" t="s">
        <v>103</v>
      </c>
      <c r="H787" s="8" t="s">
        <v>125</v>
      </c>
      <c r="I787" s="16" t="s">
        <v>296</v>
      </c>
      <c r="J787" s="16">
        <v>17.074654112674999</v>
      </c>
      <c r="K787" s="16">
        <v>-96.740280814743997</v>
      </c>
      <c r="L787" s="16" t="str">
        <f>HYPERLINK("https://maps.google.com/?q=17.074654112675,-96.740280814744", "🔗 Ver Mapa")</f>
        <v>🔗 Ver Mapa</v>
      </c>
    </row>
    <row r="788" spans="1:12" ht="43.5" x14ac:dyDescent="0.35">
      <c r="A788" s="6" t="s">
        <v>291</v>
      </c>
      <c r="B788" s="6" t="s">
        <v>292</v>
      </c>
      <c r="C788" s="6" t="s">
        <v>377</v>
      </c>
      <c r="D788" s="11" t="s">
        <v>294</v>
      </c>
      <c r="E788" s="17" t="s">
        <v>75</v>
      </c>
      <c r="F788" s="17" t="s">
        <v>86</v>
      </c>
      <c r="G788" s="11" t="s">
        <v>103</v>
      </c>
      <c r="H788" s="11" t="s">
        <v>125</v>
      </c>
      <c r="I788" s="17" t="s">
        <v>296</v>
      </c>
      <c r="J788" s="17">
        <v>17.075131049614001</v>
      </c>
      <c r="K788" s="17">
        <v>-96.740594642462995</v>
      </c>
      <c r="L788" s="17" t="str">
        <f>HYPERLINK("https://maps.google.com/?q=17.075131049614,-96.740594642463", "🔗 Ver Mapa")</f>
        <v>🔗 Ver Mapa</v>
      </c>
    </row>
    <row r="789" spans="1:12" ht="43.5" x14ac:dyDescent="0.35">
      <c r="A789" s="5" t="s">
        <v>291</v>
      </c>
      <c r="B789" s="5" t="s">
        <v>292</v>
      </c>
      <c r="C789" s="5" t="s">
        <v>377</v>
      </c>
      <c r="D789" s="8" t="s">
        <v>294</v>
      </c>
      <c r="E789" s="16" t="s">
        <v>75</v>
      </c>
      <c r="F789" s="16" t="s">
        <v>86</v>
      </c>
      <c r="G789" s="8" t="s">
        <v>103</v>
      </c>
      <c r="H789" s="8" t="s">
        <v>125</v>
      </c>
      <c r="I789" s="16" t="s">
        <v>296</v>
      </c>
      <c r="J789" s="16">
        <v>17.075545212885</v>
      </c>
      <c r="K789" s="16">
        <v>-96.740881839812999</v>
      </c>
      <c r="L789" s="16" t="str">
        <f>HYPERLINK("https://maps.google.com/?q=17.075545212885,-96.740881839813", "🔗 Ver Mapa")</f>
        <v>🔗 Ver Mapa</v>
      </c>
    </row>
    <row r="790" spans="1:12" ht="43.5" x14ac:dyDescent="0.35">
      <c r="A790" s="6" t="s">
        <v>291</v>
      </c>
      <c r="B790" s="6" t="s">
        <v>292</v>
      </c>
      <c r="C790" s="6" t="s">
        <v>377</v>
      </c>
      <c r="D790" s="11" t="s">
        <v>294</v>
      </c>
      <c r="E790" s="17" t="s">
        <v>75</v>
      </c>
      <c r="F790" s="17" t="s">
        <v>86</v>
      </c>
      <c r="G790" s="11" t="s">
        <v>103</v>
      </c>
      <c r="H790" s="11" t="s">
        <v>125</v>
      </c>
      <c r="I790" s="17" t="s">
        <v>296</v>
      </c>
      <c r="J790" s="17">
        <v>17.076139729485</v>
      </c>
      <c r="K790" s="17">
        <v>-96.741207642738004</v>
      </c>
      <c r="L790" s="17" t="str">
        <f>HYPERLINK("https://maps.google.com/?q=17.076139729485,-96.741207642738", "🔗 Ver Mapa")</f>
        <v>🔗 Ver Mapa</v>
      </c>
    </row>
    <row r="791" spans="1:12" ht="43.5" x14ac:dyDescent="0.35">
      <c r="A791" s="5" t="s">
        <v>291</v>
      </c>
      <c r="B791" s="5" t="s">
        <v>292</v>
      </c>
      <c r="C791" s="5" t="s">
        <v>377</v>
      </c>
      <c r="D791" s="8" t="s">
        <v>294</v>
      </c>
      <c r="E791" s="16" t="s">
        <v>75</v>
      </c>
      <c r="F791" s="16" t="s">
        <v>86</v>
      </c>
      <c r="G791" s="8" t="s">
        <v>103</v>
      </c>
      <c r="H791" s="8" t="s">
        <v>125</v>
      </c>
      <c r="I791" s="16" t="s">
        <v>296</v>
      </c>
      <c r="J791" s="16">
        <v>17.080082777457001</v>
      </c>
      <c r="K791" s="16">
        <v>-96.743478148481003</v>
      </c>
      <c r="L791" s="16" t="str">
        <f>HYPERLINK("https://maps.google.com/?q=17.080082777457,-96.743478148481", "🔗 Ver Mapa")</f>
        <v>🔗 Ver Mapa</v>
      </c>
    </row>
    <row r="792" spans="1:12" ht="43.5" x14ac:dyDescent="0.35">
      <c r="A792" s="6" t="s">
        <v>291</v>
      </c>
      <c r="B792" s="6" t="s">
        <v>292</v>
      </c>
      <c r="C792" s="6" t="s">
        <v>377</v>
      </c>
      <c r="D792" s="11" t="s">
        <v>294</v>
      </c>
      <c r="E792" s="17" t="s">
        <v>75</v>
      </c>
      <c r="F792" s="17" t="s">
        <v>86</v>
      </c>
      <c r="G792" s="11" t="s">
        <v>103</v>
      </c>
      <c r="H792" s="11" t="s">
        <v>125</v>
      </c>
      <c r="I792" s="17" t="s">
        <v>296</v>
      </c>
      <c r="J792" s="17">
        <v>17.080835176611998</v>
      </c>
      <c r="K792" s="17">
        <v>-96.706677210514002</v>
      </c>
      <c r="L792" s="17" t="str">
        <f>HYPERLINK("https://maps.google.com/?q=17.080835176612,-96.706677210514", "🔗 Ver Mapa")</f>
        <v>🔗 Ver Mapa</v>
      </c>
    </row>
    <row r="793" spans="1:12" ht="43.5" x14ac:dyDescent="0.35">
      <c r="A793" s="5" t="s">
        <v>291</v>
      </c>
      <c r="B793" s="5" t="s">
        <v>292</v>
      </c>
      <c r="C793" s="5" t="s">
        <v>377</v>
      </c>
      <c r="D793" s="8" t="s">
        <v>294</v>
      </c>
      <c r="E793" s="16" t="s">
        <v>75</v>
      </c>
      <c r="F793" s="16" t="s">
        <v>86</v>
      </c>
      <c r="G793" s="8" t="s">
        <v>103</v>
      </c>
      <c r="H793" s="8" t="s">
        <v>125</v>
      </c>
      <c r="I793" s="16" t="s">
        <v>296</v>
      </c>
      <c r="J793" s="16">
        <v>17.081231905668002</v>
      </c>
      <c r="K793" s="16">
        <v>-96.716480534092</v>
      </c>
      <c r="L793" s="16" t="str">
        <f>HYPERLINK("https://maps.google.com/?q=17.081231905668,-96.716480534092", "🔗 Ver Mapa")</f>
        <v>🔗 Ver Mapa</v>
      </c>
    </row>
    <row r="794" spans="1:12" ht="43.5" x14ac:dyDescent="0.35">
      <c r="A794" s="6" t="s">
        <v>291</v>
      </c>
      <c r="B794" s="6" t="s">
        <v>292</v>
      </c>
      <c r="C794" s="6" t="s">
        <v>377</v>
      </c>
      <c r="D794" s="11" t="s">
        <v>294</v>
      </c>
      <c r="E794" s="17" t="s">
        <v>75</v>
      </c>
      <c r="F794" s="17" t="s">
        <v>86</v>
      </c>
      <c r="G794" s="11" t="s">
        <v>103</v>
      </c>
      <c r="H794" s="11" t="s">
        <v>125</v>
      </c>
      <c r="I794" s="17" t="s">
        <v>296</v>
      </c>
      <c r="J794" s="17">
        <v>17.081577138195001</v>
      </c>
      <c r="K794" s="17">
        <v>-96.718963052449993</v>
      </c>
      <c r="L794" s="17" t="str">
        <f>HYPERLINK("https://maps.google.com/?q=17.081577138195,-96.71896305245", "🔗 Ver Mapa")</f>
        <v>🔗 Ver Mapa</v>
      </c>
    </row>
    <row r="795" spans="1:12" ht="43.5" x14ac:dyDescent="0.35">
      <c r="A795" s="5" t="s">
        <v>291</v>
      </c>
      <c r="B795" s="5" t="s">
        <v>292</v>
      </c>
      <c r="C795" s="5" t="s">
        <v>377</v>
      </c>
      <c r="D795" s="8" t="s">
        <v>294</v>
      </c>
      <c r="E795" s="16" t="s">
        <v>75</v>
      </c>
      <c r="F795" s="16" t="s">
        <v>86</v>
      </c>
      <c r="G795" s="8" t="s">
        <v>103</v>
      </c>
      <c r="H795" s="8" t="s">
        <v>125</v>
      </c>
      <c r="I795" s="16" t="s">
        <v>296</v>
      </c>
      <c r="J795" s="16">
        <v>17.081730891446998</v>
      </c>
      <c r="K795" s="16">
        <v>-96.695401842069998</v>
      </c>
      <c r="L795" s="16" t="str">
        <f>HYPERLINK("https://maps.google.com/?q=17.081730891447,-96.69540184207", "🔗 Ver Mapa")</f>
        <v>🔗 Ver Mapa</v>
      </c>
    </row>
    <row r="796" spans="1:12" ht="43.5" x14ac:dyDescent="0.35">
      <c r="A796" s="6" t="s">
        <v>291</v>
      </c>
      <c r="B796" s="6" t="s">
        <v>292</v>
      </c>
      <c r="C796" s="6" t="s">
        <v>377</v>
      </c>
      <c r="D796" s="11" t="s">
        <v>294</v>
      </c>
      <c r="E796" s="17" t="s">
        <v>75</v>
      </c>
      <c r="F796" s="17" t="s">
        <v>86</v>
      </c>
      <c r="G796" s="11" t="s">
        <v>103</v>
      </c>
      <c r="H796" s="11" t="s">
        <v>125</v>
      </c>
      <c r="I796" s="17" t="s">
        <v>296</v>
      </c>
      <c r="J796" s="17">
        <v>17.081745573894999</v>
      </c>
      <c r="K796" s="17">
        <v>-96.695156153029004</v>
      </c>
      <c r="L796" s="17" t="str">
        <f>HYPERLINK("https://maps.google.com/?q=17.081745573895,-96.695156153029", "🔗 Ver Mapa")</f>
        <v>🔗 Ver Mapa</v>
      </c>
    </row>
    <row r="797" spans="1:12" ht="43.5" x14ac:dyDescent="0.35">
      <c r="A797" s="5" t="s">
        <v>291</v>
      </c>
      <c r="B797" s="5" t="s">
        <v>292</v>
      </c>
      <c r="C797" s="5" t="s">
        <v>377</v>
      </c>
      <c r="D797" s="8" t="s">
        <v>294</v>
      </c>
      <c r="E797" s="16" t="s">
        <v>75</v>
      </c>
      <c r="F797" s="16" t="s">
        <v>86</v>
      </c>
      <c r="G797" s="8" t="s">
        <v>103</v>
      </c>
      <c r="H797" s="8" t="s">
        <v>125</v>
      </c>
      <c r="I797" s="16" t="s">
        <v>296</v>
      </c>
      <c r="J797" s="16">
        <v>17.081763706560999</v>
      </c>
      <c r="K797" s="16">
        <v>-96.695239300316004</v>
      </c>
      <c r="L797" s="16" t="str">
        <f>HYPERLINK("https://maps.google.com/?q=17.081763706561,-96.695239300316", "🔗 Ver Mapa")</f>
        <v>🔗 Ver Mapa</v>
      </c>
    </row>
    <row r="798" spans="1:12" ht="43.5" x14ac:dyDescent="0.35">
      <c r="A798" s="6" t="s">
        <v>291</v>
      </c>
      <c r="B798" s="6" t="s">
        <v>292</v>
      </c>
      <c r="C798" s="6" t="s">
        <v>377</v>
      </c>
      <c r="D798" s="11" t="s">
        <v>294</v>
      </c>
      <c r="E798" s="17" t="s">
        <v>75</v>
      </c>
      <c r="F798" s="17" t="s">
        <v>86</v>
      </c>
      <c r="G798" s="11" t="s">
        <v>103</v>
      </c>
      <c r="H798" s="11" t="s">
        <v>125</v>
      </c>
      <c r="I798" s="17" t="s">
        <v>296</v>
      </c>
      <c r="J798" s="17">
        <v>17.081772468147001</v>
      </c>
      <c r="K798" s="17">
        <v>-96.695398880436997</v>
      </c>
      <c r="L798" s="17" t="str">
        <f>HYPERLINK("https://maps.google.com/?q=17.081772468147,-96.695398880437", "🔗 Ver Mapa")</f>
        <v>🔗 Ver Mapa</v>
      </c>
    </row>
    <row r="799" spans="1:12" ht="43.5" x14ac:dyDescent="0.35">
      <c r="A799" s="5" t="s">
        <v>291</v>
      </c>
      <c r="B799" s="5" t="s">
        <v>292</v>
      </c>
      <c r="C799" s="5" t="s">
        <v>377</v>
      </c>
      <c r="D799" s="8" t="s">
        <v>294</v>
      </c>
      <c r="E799" s="16" t="s">
        <v>75</v>
      </c>
      <c r="F799" s="16" t="s">
        <v>86</v>
      </c>
      <c r="G799" s="8" t="s">
        <v>103</v>
      </c>
      <c r="H799" s="8" t="s">
        <v>125</v>
      </c>
      <c r="I799" s="16" t="s">
        <v>296</v>
      </c>
      <c r="J799" s="16">
        <v>17.081825635005</v>
      </c>
      <c r="K799" s="16">
        <v>-96.696593893181003</v>
      </c>
      <c r="L799" s="16" t="str">
        <f>HYPERLINK("https://maps.google.com/?q=17.081825635005,-96.696593893181", "🔗 Ver Mapa")</f>
        <v>🔗 Ver Mapa</v>
      </c>
    </row>
    <row r="800" spans="1:12" ht="43.5" x14ac:dyDescent="0.35">
      <c r="A800" s="6" t="s">
        <v>291</v>
      </c>
      <c r="B800" s="6" t="s">
        <v>292</v>
      </c>
      <c r="C800" s="6" t="s">
        <v>377</v>
      </c>
      <c r="D800" s="11" t="s">
        <v>294</v>
      </c>
      <c r="E800" s="17" t="s">
        <v>75</v>
      </c>
      <c r="F800" s="17" t="s">
        <v>86</v>
      </c>
      <c r="G800" s="11" t="s">
        <v>103</v>
      </c>
      <c r="H800" s="11" t="s">
        <v>125</v>
      </c>
      <c r="I800" s="17" t="s">
        <v>296</v>
      </c>
      <c r="J800" s="17">
        <v>17.081833506053002</v>
      </c>
      <c r="K800" s="17">
        <v>-96.696677058928003</v>
      </c>
      <c r="L800" s="17" t="str">
        <f>HYPERLINK("https://maps.google.com/?q=17.081833506053,-96.696677058928", "🔗 Ver Mapa")</f>
        <v>🔗 Ver Mapa</v>
      </c>
    </row>
    <row r="801" spans="1:12" ht="43.5" x14ac:dyDescent="0.35">
      <c r="A801" s="5" t="s">
        <v>291</v>
      </c>
      <c r="B801" s="5" t="s">
        <v>292</v>
      </c>
      <c r="C801" s="5" t="s">
        <v>377</v>
      </c>
      <c r="D801" s="8" t="s">
        <v>294</v>
      </c>
      <c r="E801" s="16" t="s">
        <v>75</v>
      </c>
      <c r="F801" s="16" t="s">
        <v>86</v>
      </c>
      <c r="G801" s="8" t="s">
        <v>103</v>
      </c>
      <c r="H801" s="8" t="s">
        <v>125</v>
      </c>
      <c r="I801" s="16" t="s">
        <v>296</v>
      </c>
      <c r="J801" s="16">
        <v>17.081881273726001</v>
      </c>
      <c r="K801" s="16">
        <v>-96.698123857463997</v>
      </c>
      <c r="L801" s="16" t="str">
        <f>HYPERLINK("https://maps.google.com/?q=17.081881273726,-96.698123857464", "🔗 Ver Mapa")</f>
        <v>🔗 Ver Mapa</v>
      </c>
    </row>
    <row r="802" spans="1:12" ht="43.5" x14ac:dyDescent="0.35">
      <c r="A802" s="6" t="s">
        <v>291</v>
      </c>
      <c r="B802" s="6" t="s">
        <v>292</v>
      </c>
      <c r="C802" s="6" t="s">
        <v>377</v>
      </c>
      <c r="D802" s="11" t="s">
        <v>294</v>
      </c>
      <c r="E802" s="17" t="s">
        <v>75</v>
      </c>
      <c r="F802" s="17" t="s">
        <v>86</v>
      </c>
      <c r="G802" s="11" t="s">
        <v>103</v>
      </c>
      <c r="H802" s="11" t="s">
        <v>125</v>
      </c>
      <c r="I802" s="17" t="s">
        <v>296</v>
      </c>
      <c r="J802" s="17">
        <v>17.081902762504001</v>
      </c>
      <c r="K802" s="17">
        <v>-96.699818609028995</v>
      </c>
      <c r="L802" s="17" t="str">
        <f>HYPERLINK("https://maps.google.com/?q=17.081902762504,-96.699818609029", "🔗 Ver Mapa")</f>
        <v>🔗 Ver Mapa</v>
      </c>
    </row>
    <row r="803" spans="1:12" ht="43.5" x14ac:dyDescent="0.35">
      <c r="A803" s="5" t="s">
        <v>291</v>
      </c>
      <c r="B803" s="5" t="s">
        <v>292</v>
      </c>
      <c r="C803" s="5" t="s">
        <v>377</v>
      </c>
      <c r="D803" s="8" t="s">
        <v>294</v>
      </c>
      <c r="E803" s="16" t="s">
        <v>75</v>
      </c>
      <c r="F803" s="16" t="s">
        <v>86</v>
      </c>
      <c r="G803" s="8" t="s">
        <v>103</v>
      </c>
      <c r="H803" s="8" t="s">
        <v>125</v>
      </c>
      <c r="I803" s="16" t="s">
        <v>296</v>
      </c>
      <c r="J803" s="16">
        <v>17.081941749519999</v>
      </c>
      <c r="K803" s="16">
        <v>-96.699744489755005</v>
      </c>
      <c r="L803" s="16" t="str">
        <f>HYPERLINK("https://maps.google.com/?q=17.08194174952,-96.699744489755", "🔗 Ver Mapa")</f>
        <v>🔗 Ver Mapa</v>
      </c>
    </row>
    <row r="804" spans="1:12" ht="43.5" x14ac:dyDescent="0.35">
      <c r="A804" s="6" t="s">
        <v>291</v>
      </c>
      <c r="B804" s="6" t="s">
        <v>292</v>
      </c>
      <c r="C804" s="6" t="s">
        <v>377</v>
      </c>
      <c r="D804" s="11" t="s">
        <v>294</v>
      </c>
      <c r="E804" s="17" t="s">
        <v>75</v>
      </c>
      <c r="F804" s="17" t="s">
        <v>86</v>
      </c>
      <c r="G804" s="11" t="s">
        <v>103</v>
      </c>
      <c r="H804" s="11" t="s">
        <v>125</v>
      </c>
      <c r="I804" s="17" t="s">
        <v>296</v>
      </c>
      <c r="J804" s="17">
        <v>17.081994689053001</v>
      </c>
      <c r="K804" s="17">
        <v>-96.716376795122997</v>
      </c>
      <c r="L804" s="17" t="str">
        <f>HYPERLINK("https://maps.google.com/?q=17.081994689053,-96.716376795123", "🔗 Ver Mapa")</f>
        <v>🔗 Ver Mapa</v>
      </c>
    </row>
    <row r="805" spans="1:12" ht="43.5" x14ac:dyDescent="0.35">
      <c r="A805" s="5" t="s">
        <v>291</v>
      </c>
      <c r="B805" s="5" t="s">
        <v>292</v>
      </c>
      <c r="C805" s="5" t="s">
        <v>377</v>
      </c>
      <c r="D805" s="8" t="s">
        <v>294</v>
      </c>
      <c r="E805" s="16" t="s">
        <v>75</v>
      </c>
      <c r="F805" s="16" t="s">
        <v>86</v>
      </c>
      <c r="G805" s="8" t="s">
        <v>103</v>
      </c>
      <c r="H805" s="8" t="s">
        <v>125</v>
      </c>
      <c r="I805" s="16" t="s">
        <v>296</v>
      </c>
      <c r="J805" s="16">
        <v>17.082047874156</v>
      </c>
      <c r="K805" s="16">
        <v>-96.699887912807995</v>
      </c>
      <c r="L805" s="16" t="str">
        <f>HYPERLINK("https://maps.google.com/?q=17.082047874156,-96.699887912808", "🔗 Ver Mapa")</f>
        <v>🔗 Ver Mapa</v>
      </c>
    </row>
    <row r="806" spans="1:12" ht="43.5" x14ac:dyDescent="0.35">
      <c r="A806" s="6" t="s">
        <v>291</v>
      </c>
      <c r="B806" s="6" t="s">
        <v>292</v>
      </c>
      <c r="C806" s="6" t="s">
        <v>377</v>
      </c>
      <c r="D806" s="11" t="s">
        <v>294</v>
      </c>
      <c r="E806" s="17" t="s">
        <v>75</v>
      </c>
      <c r="F806" s="17" t="s">
        <v>86</v>
      </c>
      <c r="G806" s="11" t="s">
        <v>103</v>
      </c>
      <c r="H806" s="11" t="s">
        <v>125</v>
      </c>
      <c r="I806" s="17" t="s">
        <v>296</v>
      </c>
      <c r="J806" s="17">
        <v>17.082080988714999</v>
      </c>
      <c r="K806" s="17">
        <v>-96.717148044946001</v>
      </c>
      <c r="L806" s="17" t="str">
        <f>HYPERLINK("https://maps.google.com/?q=17.082080988715,-96.717148044946", "🔗 Ver Mapa")</f>
        <v>🔗 Ver Mapa</v>
      </c>
    </row>
    <row r="807" spans="1:12" ht="43.5" x14ac:dyDescent="0.35">
      <c r="A807" s="5" t="s">
        <v>291</v>
      </c>
      <c r="B807" s="5" t="s">
        <v>292</v>
      </c>
      <c r="C807" s="5" t="s">
        <v>377</v>
      </c>
      <c r="D807" s="8" t="s">
        <v>294</v>
      </c>
      <c r="E807" s="16" t="s">
        <v>75</v>
      </c>
      <c r="F807" s="16" t="s">
        <v>86</v>
      </c>
      <c r="G807" s="8" t="s">
        <v>103</v>
      </c>
      <c r="H807" s="8" t="s">
        <v>125</v>
      </c>
      <c r="I807" s="16" t="s">
        <v>296</v>
      </c>
      <c r="J807" s="16">
        <v>17.082505126042999</v>
      </c>
      <c r="K807" s="16">
        <v>-96.698105486008998</v>
      </c>
      <c r="L807" s="16" t="str">
        <f>HYPERLINK("https://maps.google.com/?q=17.082505126043,-96.698105486009", "🔗 Ver Mapa")</f>
        <v>🔗 Ver Mapa</v>
      </c>
    </row>
    <row r="808" spans="1:12" ht="43.5" x14ac:dyDescent="0.35">
      <c r="A808" s="6" t="s">
        <v>291</v>
      </c>
      <c r="B808" s="6" t="s">
        <v>292</v>
      </c>
      <c r="C808" s="6" t="s">
        <v>377</v>
      </c>
      <c r="D808" s="11" t="s">
        <v>294</v>
      </c>
      <c r="E808" s="17" t="s">
        <v>75</v>
      </c>
      <c r="F808" s="17" t="s">
        <v>86</v>
      </c>
      <c r="G808" s="11" t="s">
        <v>103</v>
      </c>
      <c r="H808" s="11" t="s">
        <v>125</v>
      </c>
      <c r="I808" s="17" t="s">
        <v>296</v>
      </c>
      <c r="J808" s="17">
        <v>17.082509836692001</v>
      </c>
      <c r="K808" s="17">
        <v>-96.697966831273007</v>
      </c>
      <c r="L808" s="17" t="str">
        <f>HYPERLINK("https://maps.google.com/?q=17.082509836692,-96.697966831273", "🔗 Ver Mapa")</f>
        <v>🔗 Ver Mapa</v>
      </c>
    </row>
    <row r="809" spans="1:12" ht="43.5" x14ac:dyDescent="0.35">
      <c r="A809" s="5" t="s">
        <v>291</v>
      </c>
      <c r="B809" s="5" t="s">
        <v>292</v>
      </c>
      <c r="C809" s="5" t="s">
        <v>377</v>
      </c>
      <c r="D809" s="8" t="s">
        <v>294</v>
      </c>
      <c r="E809" s="16" t="s">
        <v>75</v>
      </c>
      <c r="F809" s="16" t="s">
        <v>86</v>
      </c>
      <c r="G809" s="8" t="s">
        <v>103</v>
      </c>
      <c r="H809" s="8" t="s">
        <v>125</v>
      </c>
      <c r="I809" s="16" t="s">
        <v>296</v>
      </c>
      <c r="J809" s="16">
        <v>17.082519587097</v>
      </c>
      <c r="K809" s="16">
        <v>-96.699912376086999</v>
      </c>
      <c r="L809" s="16" t="str">
        <f>HYPERLINK("https://maps.google.com/?q=17.082519587097,-96.699912376087", "🔗 Ver Mapa")</f>
        <v>🔗 Ver Mapa</v>
      </c>
    </row>
    <row r="810" spans="1:12" ht="43.5" x14ac:dyDescent="0.35">
      <c r="A810" s="6" t="s">
        <v>291</v>
      </c>
      <c r="B810" s="6" t="s">
        <v>292</v>
      </c>
      <c r="C810" s="6" t="s">
        <v>377</v>
      </c>
      <c r="D810" s="11" t="s">
        <v>294</v>
      </c>
      <c r="E810" s="17" t="s">
        <v>75</v>
      </c>
      <c r="F810" s="17" t="s">
        <v>86</v>
      </c>
      <c r="G810" s="11" t="s">
        <v>103</v>
      </c>
      <c r="H810" s="11" t="s">
        <v>125</v>
      </c>
      <c r="I810" s="17" t="s">
        <v>296</v>
      </c>
      <c r="J810" s="17">
        <v>17.082546291284</v>
      </c>
      <c r="K810" s="17">
        <v>-96.700731773908004</v>
      </c>
      <c r="L810" s="17" t="str">
        <f>HYPERLINK("https://maps.google.com/?q=17.082546291284,-96.700731773908", "🔗 Ver Mapa")</f>
        <v>🔗 Ver Mapa</v>
      </c>
    </row>
    <row r="811" spans="1:12" ht="43.5" x14ac:dyDescent="0.35">
      <c r="A811" s="5" t="s">
        <v>291</v>
      </c>
      <c r="B811" s="5" t="s">
        <v>292</v>
      </c>
      <c r="C811" s="5" t="s">
        <v>377</v>
      </c>
      <c r="D811" s="8" t="s">
        <v>294</v>
      </c>
      <c r="E811" s="16" t="s">
        <v>75</v>
      </c>
      <c r="F811" s="16" t="s">
        <v>86</v>
      </c>
      <c r="G811" s="8" t="s">
        <v>103</v>
      </c>
      <c r="H811" s="8" t="s">
        <v>125</v>
      </c>
      <c r="I811" s="16" t="s">
        <v>296</v>
      </c>
      <c r="J811" s="16">
        <v>17.082767856406999</v>
      </c>
      <c r="K811" s="16">
        <v>-96.697961587866004</v>
      </c>
      <c r="L811" s="16" t="str">
        <f>HYPERLINK("https://maps.google.com/?q=17.082767856407,-96.697961587866", "🔗 Ver Mapa")</f>
        <v>🔗 Ver Mapa</v>
      </c>
    </row>
    <row r="812" spans="1:12" ht="43.5" x14ac:dyDescent="0.35">
      <c r="A812" s="6" t="s">
        <v>291</v>
      </c>
      <c r="B812" s="6" t="s">
        <v>292</v>
      </c>
      <c r="C812" s="6" t="s">
        <v>377</v>
      </c>
      <c r="D812" s="11" t="s">
        <v>294</v>
      </c>
      <c r="E812" s="17" t="s">
        <v>75</v>
      </c>
      <c r="F812" s="17" t="s">
        <v>86</v>
      </c>
      <c r="G812" s="11" t="s">
        <v>103</v>
      </c>
      <c r="H812" s="11" t="s">
        <v>125</v>
      </c>
      <c r="I812" s="17" t="s">
        <v>296</v>
      </c>
      <c r="J812" s="17">
        <v>17.082819087362001</v>
      </c>
      <c r="K812" s="17">
        <v>-96.697996947768004</v>
      </c>
      <c r="L812" s="17" t="str">
        <f>HYPERLINK("https://maps.google.com/?q=17.082819087362,-96.697996947768", "🔗 Ver Mapa")</f>
        <v>🔗 Ver Mapa</v>
      </c>
    </row>
    <row r="813" spans="1:12" ht="43.5" x14ac:dyDescent="0.35">
      <c r="A813" s="5" t="s">
        <v>291</v>
      </c>
      <c r="B813" s="5" t="s">
        <v>292</v>
      </c>
      <c r="C813" s="5" t="s">
        <v>377</v>
      </c>
      <c r="D813" s="8" t="s">
        <v>294</v>
      </c>
      <c r="E813" s="16" t="s">
        <v>75</v>
      </c>
      <c r="F813" s="16" t="s">
        <v>86</v>
      </c>
      <c r="G813" s="8" t="s">
        <v>103</v>
      </c>
      <c r="H813" s="8" t="s">
        <v>125</v>
      </c>
      <c r="I813" s="16" t="s">
        <v>296</v>
      </c>
      <c r="J813" s="16">
        <v>17.082860916674001</v>
      </c>
      <c r="K813" s="16">
        <v>-96.694840411865997</v>
      </c>
      <c r="L813" s="16" t="str">
        <f>HYPERLINK("https://maps.google.com/?q=17.082860916674,-96.694840411866", "🔗 Ver Mapa")</f>
        <v>🔗 Ver Mapa</v>
      </c>
    </row>
    <row r="814" spans="1:12" ht="43.5" x14ac:dyDescent="0.35">
      <c r="A814" s="6" t="s">
        <v>291</v>
      </c>
      <c r="B814" s="6" t="s">
        <v>292</v>
      </c>
      <c r="C814" s="6" t="s">
        <v>377</v>
      </c>
      <c r="D814" s="11" t="s">
        <v>294</v>
      </c>
      <c r="E814" s="17" t="s">
        <v>75</v>
      </c>
      <c r="F814" s="17" t="s">
        <v>86</v>
      </c>
      <c r="G814" s="11" t="s">
        <v>103</v>
      </c>
      <c r="H814" s="11" t="s">
        <v>125</v>
      </c>
      <c r="I814" s="17" t="s">
        <v>296</v>
      </c>
      <c r="J814" s="17">
        <v>17.082872966242999</v>
      </c>
      <c r="K814" s="17">
        <v>-96.695345494036005</v>
      </c>
      <c r="L814" s="17" t="str">
        <f>HYPERLINK("https://maps.google.com/?q=17.082872966243,-96.695345494036", "🔗 Ver Mapa")</f>
        <v>🔗 Ver Mapa</v>
      </c>
    </row>
    <row r="815" spans="1:12" ht="43.5" x14ac:dyDescent="0.35">
      <c r="A815" s="5" t="s">
        <v>291</v>
      </c>
      <c r="B815" s="5" t="s">
        <v>292</v>
      </c>
      <c r="C815" s="5" t="s">
        <v>377</v>
      </c>
      <c r="D815" s="8" t="s">
        <v>294</v>
      </c>
      <c r="E815" s="16" t="s">
        <v>75</v>
      </c>
      <c r="F815" s="16" t="s">
        <v>86</v>
      </c>
      <c r="G815" s="8" t="s">
        <v>103</v>
      </c>
      <c r="H815" s="8" t="s">
        <v>125</v>
      </c>
      <c r="I815" s="16" t="s">
        <v>296</v>
      </c>
      <c r="J815" s="16">
        <v>17.082876257557</v>
      </c>
      <c r="K815" s="16">
        <v>-96.698009377678005</v>
      </c>
      <c r="L815" s="16" t="str">
        <f>HYPERLINK("https://maps.google.com/?q=17.082876257557,-96.698009377678", "🔗 Ver Mapa")</f>
        <v>🔗 Ver Mapa</v>
      </c>
    </row>
    <row r="816" spans="1:12" ht="43.5" x14ac:dyDescent="0.35">
      <c r="A816" s="6" t="s">
        <v>291</v>
      </c>
      <c r="B816" s="6" t="s">
        <v>292</v>
      </c>
      <c r="C816" s="6" t="s">
        <v>377</v>
      </c>
      <c r="D816" s="11" t="s">
        <v>294</v>
      </c>
      <c r="E816" s="17" t="s">
        <v>75</v>
      </c>
      <c r="F816" s="17" t="s">
        <v>86</v>
      </c>
      <c r="G816" s="11" t="s">
        <v>103</v>
      </c>
      <c r="H816" s="11" t="s">
        <v>125</v>
      </c>
      <c r="I816" s="17" t="s">
        <v>296</v>
      </c>
      <c r="J816" s="17">
        <v>17.083120219308999</v>
      </c>
      <c r="K816" s="17">
        <v>-96.696508626793005</v>
      </c>
      <c r="L816" s="17" t="str">
        <f>HYPERLINK("https://maps.google.com/?q=17.083120219309,-96.696508626793", "🔗 Ver Mapa")</f>
        <v>🔗 Ver Mapa</v>
      </c>
    </row>
    <row r="817" spans="1:12" ht="43.5" x14ac:dyDescent="0.35">
      <c r="A817" s="5" t="s">
        <v>291</v>
      </c>
      <c r="B817" s="5" t="s">
        <v>292</v>
      </c>
      <c r="C817" s="5" t="s">
        <v>377</v>
      </c>
      <c r="D817" s="8" t="s">
        <v>294</v>
      </c>
      <c r="E817" s="16" t="s">
        <v>75</v>
      </c>
      <c r="F817" s="16" t="s">
        <v>86</v>
      </c>
      <c r="G817" s="8" t="s">
        <v>103</v>
      </c>
      <c r="H817" s="8" t="s">
        <v>125</v>
      </c>
      <c r="I817" s="16" t="s">
        <v>296</v>
      </c>
      <c r="J817" s="16">
        <v>17.083135123923</v>
      </c>
      <c r="K817" s="16">
        <v>-96.694739666090001</v>
      </c>
      <c r="L817" s="16" t="str">
        <f>HYPERLINK("https://maps.google.com/?q=17.083135123923,-96.69473966609", "🔗 Ver Mapa")</f>
        <v>🔗 Ver Mapa</v>
      </c>
    </row>
    <row r="818" spans="1:12" ht="43.5" x14ac:dyDescent="0.35">
      <c r="A818" s="6" t="s">
        <v>291</v>
      </c>
      <c r="B818" s="6" t="s">
        <v>292</v>
      </c>
      <c r="C818" s="6" t="s">
        <v>377</v>
      </c>
      <c r="D818" s="11" t="s">
        <v>294</v>
      </c>
      <c r="E818" s="17" t="s">
        <v>75</v>
      </c>
      <c r="F818" s="17" t="s">
        <v>86</v>
      </c>
      <c r="G818" s="11" t="s">
        <v>103</v>
      </c>
      <c r="H818" s="11" t="s">
        <v>125</v>
      </c>
      <c r="I818" s="17" t="s">
        <v>296</v>
      </c>
      <c r="J818" s="17">
        <v>17.083169902666</v>
      </c>
      <c r="K818" s="17">
        <v>-96.694621760307996</v>
      </c>
      <c r="L818" s="17" t="str">
        <f>HYPERLINK("https://maps.google.com/?q=17.083169902666,-96.694621760308", "🔗 Ver Mapa")</f>
        <v>🔗 Ver Mapa</v>
      </c>
    </row>
    <row r="819" spans="1:12" ht="43.5" x14ac:dyDescent="0.35">
      <c r="A819" s="5" t="s">
        <v>291</v>
      </c>
      <c r="B819" s="5" t="s">
        <v>292</v>
      </c>
      <c r="C819" s="5" t="s">
        <v>377</v>
      </c>
      <c r="D819" s="8" t="s">
        <v>294</v>
      </c>
      <c r="E819" s="16" t="s">
        <v>75</v>
      </c>
      <c r="F819" s="16" t="s">
        <v>86</v>
      </c>
      <c r="G819" s="8" t="s">
        <v>103</v>
      </c>
      <c r="H819" s="8" t="s">
        <v>125</v>
      </c>
      <c r="I819" s="16" t="s">
        <v>296</v>
      </c>
      <c r="J819" s="16">
        <v>17.083179349883</v>
      </c>
      <c r="K819" s="16">
        <v>-96.695547560910995</v>
      </c>
      <c r="L819" s="16" t="str">
        <f>HYPERLINK("https://maps.google.com/?q=17.083179349883,-96.695547560911", "🔗 Ver Mapa")</f>
        <v>🔗 Ver Mapa</v>
      </c>
    </row>
    <row r="820" spans="1:12" ht="43.5" x14ac:dyDescent="0.35">
      <c r="A820" s="6" t="s">
        <v>291</v>
      </c>
      <c r="B820" s="6" t="s">
        <v>292</v>
      </c>
      <c r="C820" s="6" t="s">
        <v>377</v>
      </c>
      <c r="D820" s="11" t="s">
        <v>294</v>
      </c>
      <c r="E820" s="17" t="s">
        <v>75</v>
      </c>
      <c r="F820" s="17" t="s">
        <v>86</v>
      </c>
      <c r="G820" s="11" t="s">
        <v>103</v>
      </c>
      <c r="H820" s="11" t="s">
        <v>125</v>
      </c>
      <c r="I820" s="17" t="s">
        <v>296</v>
      </c>
      <c r="J820" s="17">
        <v>17.083207225281001</v>
      </c>
      <c r="K820" s="17">
        <v>-96.696609981178</v>
      </c>
      <c r="L820" s="17" t="str">
        <f>HYPERLINK("https://maps.google.com/?q=17.083207225281,-96.696609981178", "🔗 Ver Mapa")</f>
        <v>🔗 Ver Mapa</v>
      </c>
    </row>
    <row r="821" spans="1:12" ht="43.5" x14ac:dyDescent="0.35">
      <c r="A821" s="5" t="s">
        <v>291</v>
      </c>
      <c r="B821" s="5" t="s">
        <v>292</v>
      </c>
      <c r="C821" s="5" t="s">
        <v>377</v>
      </c>
      <c r="D821" s="8" t="s">
        <v>294</v>
      </c>
      <c r="E821" s="16" t="s">
        <v>75</v>
      </c>
      <c r="F821" s="16" t="s">
        <v>86</v>
      </c>
      <c r="G821" s="8" t="s">
        <v>103</v>
      </c>
      <c r="H821" s="8" t="s">
        <v>125</v>
      </c>
      <c r="I821" s="16" t="s">
        <v>296</v>
      </c>
      <c r="J821" s="16">
        <v>17.083419243453999</v>
      </c>
      <c r="K821" s="16">
        <v>-96.694625455112998</v>
      </c>
      <c r="L821" s="16" t="str">
        <f>HYPERLINK("https://maps.google.com/?q=17.083419243454,-96.694625455113", "🔗 Ver Mapa")</f>
        <v>🔗 Ver Mapa</v>
      </c>
    </row>
    <row r="822" spans="1:12" ht="43.5" x14ac:dyDescent="0.35">
      <c r="A822" s="6" t="s">
        <v>291</v>
      </c>
      <c r="B822" s="6" t="s">
        <v>292</v>
      </c>
      <c r="C822" s="6" t="s">
        <v>377</v>
      </c>
      <c r="D822" s="11" t="s">
        <v>294</v>
      </c>
      <c r="E822" s="17" t="s">
        <v>75</v>
      </c>
      <c r="F822" s="17" t="s">
        <v>86</v>
      </c>
      <c r="G822" s="11" t="s">
        <v>103</v>
      </c>
      <c r="H822" s="11" t="s">
        <v>125</v>
      </c>
      <c r="I822" s="17" t="s">
        <v>296</v>
      </c>
      <c r="J822" s="17">
        <v>17.083446807148</v>
      </c>
      <c r="K822" s="17">
        <v>-96.696653873936</v>
      </c>
      <c r="L822" s="17" t="str">
        <f>HYPERLINK("https://maps.google.com/?q=17.083446807148,-96.696653873936", "🔗 Ver Mapa")</f>
        <v>🔗 Ver Mapa</v>
      </c>
    </row>
    <row r="823" spans="1:12" ht="43.5" x14ac:dyDescent="0.35">
      <c r="A823" s="5" t="s">
        <v>291</v>
      </c>
      <c r="B823" s="5" t="s">
        <v>292</v>
      </c>
      <c r="C823" s="5" t="s">
        <v>377</v>
      </c>
      <c r="D823" s="8" t="s">
        <v>294</v>
      </c>
      <c r="E823" s="16" t="s">
        <v>75</v>
      </c>
      <c r="F823" s="16" t="s">
        <v>86</v>
      </c>
      <c r="G823" s="8" t="s">
        <v>103</v>
      </c>
      <c r="H823" s="8" t="s">
        <v>125</v>
      </c>
      <c r="I823" s="16" t="s">
        <v>296</v>
      </c>
      <c r="J823" s="16">
        <v>17.083497939426</v>
      </c>
      <c r="K823" s="16">
        <v>-96.698166972606998</v>
      </c>
      <c r="L823" s="16" t="str">
        <f>HYPERLINK("https://maps.google.com/?q=17.083497939426,-96.698166972607", "🔗 Ver Mapa")</f>
        <v>🔗 Ver Mapa</v>
      </c>
    </row>
    <row r="824" spans="1:12" ht="43.5" x14ac:dyDescent="0.35">
      <c r="A824" s="6" t="s">
        <v>291</v>
      </c>
      <c r="B824" s="6" t="s">
        <v>292</v>
      </c>
      <c r="C824" s="6" t="s">
        <v>377</v>
      </c>
      <c r="D824" s="11" t="s">
        <v>294</v>
      </c>
      <c r="E824" s="17" t="s">
        <v>75</v>
      </c>
      <c r="F824" s="17" t="s">
        <v>86</v>
      </c>
      <c r="G824" s="11" t="s">
        <v>103</v>
      </c>
      <c r="H824" s="11" t="s">
        <v>125</v>
      </c>
      <c r="I824" s="17" t="s">
        <v>296</v>
      </c>
      <c r="J824" s="17">
        <v>17.083531083747999</v>
      </c>
      <c r="K824" s="17">
        <v>-96.698685414026997</v>
      </c>
      <c r="L824" s="17" t="str">
        <f>HYPERLINK("https://maps.google.com/?q=17.083531083748,-96.698685414027", "🔗 Ver Mapa")</f>
        <v>🔗 Ver Mapa</v>
      </c>
    </row>
    <row r="825" spans="1:12" ht="43.5" x14ac:dyDescent="0.35">
      <c r="A825" s="5" t="s">
        <v>291</v>
      </c>
      <c r="B825" s="5" t="s">
        <v>292</v>
      </c>
      <c r="C825" s="5" t="s">
        <v>377</v>
      </c>
      <c r="D825" s="8" t="s">
        <v>294</v>
      </c>
      <c r="E825" s="16" t="s">
        <v>75</v>
      </c>
      <c r="F825" s="16" t="s">
        <v>86</v>
      </c>
      <c r="G825" s="8" t="s">
        <v>103</v>
      </c>
      <c r="H825" s="8" t="s">
        <v>125</v>
      </c>
      <c r="I825" s="16" t="s">
        <v>296</v>
      </c>
      <c r="J825" s="16">
        <v>17.083541474872</v>
      </c>
      <c r="K825" s="16">
        <v>-96.696609097161996</v>
      </c>
      <c r="L825" s="16" t="str">
        <f>HYPERLINK("https://maps.google.com/?q=17.083541474872,-96.696609097162", "🔗 Ver Mapa")</f>
        <v>🔗 Ver Mapa</v>
      </c>
    </row>
    <row r="826" spans="1:12" ht="43.5" x14ac:dyDescent="0.35">
      <c r="A826" s="6" t="s">
        <v>291</v>
      </c>
      <c r="B826" s="6" t="s">
        <v>292</v>
      </c>
      <c r="C826" s="6" t="s">
        <v>377</v>
      </c>
      <c r="D826" s="11" t="s">
        <v>294</v>
      </c>
      <c r="E826" s="17" t="s">
        <v>75</v>
      </c>
      <c r="F826" s="17" t="s">
        <v>86</v>
      </c>
      <c r="G826" s="11" t="s">
        <v>103</v>
      </c>
      <c r="H826" s="11" t="s">
        <v>125</v>
      </c>
      <c r="I826" s="17" t="s">
        <v>296</v>
      </c>
      <c r="J826" s="17">
        <v>17.083574505923998</v>
      </c>
      <c r="K826" s="17">
        <v>-96.69807195912</v>
      </c>
      <c r="L826" s="17" t="str">
        <f>HYPERLINK("https://maps.google.com/?q=17.083574505924,-96.69807195912", "🔗 Ver Mapa")</f>
        <v>🔗 Ver Mapa</v>
      </c>
    </row>
    <row r="827" spans="1:12" ht="43.5" x14ac:dyDescent="0.35">
      <c r="A827" s="5" t="s">
        <v>291</v>
      </c>
      <c r="B827" s="5" t="s">
        <v>292</v>
      </c>
      <c r="C827" s="5" t="s">
        <v>377</v>
      </c>
      <c r="D827" s="8" t="s">
        <v>294</v>
      </c>
      <c r="E827" s="16" t="s">
        <v>75</v>
      </c>
      <c r="F827" s="16" t="s">
        <v>86</v>
      </c>
      <c r="G827" s="8" t="s">
        <v>103</v>
      </c>
      <c r="H827" s="8" t="s">
        <v>125</v>
      </c>
      <c r="I827" s="16" t="s">
        <v>296</v>
      </c>
      <c r="J827" s="16">
        <v>17.083583022919001</v>
      </c>
      <c r="K827" s="16">
        <v>-96.699972708120995</v>
      </c>
      <c r="L827" s="16" t="str">
        <f>HYPERLINK("https://maps.google.com/?q=17.083583022919,-96.699972708121", "🔗 Ver Mapa")</f>
        <v>🔗 Ver Mapa</v>
      </c>
    </row>
    <row r="828" spans="1:12" ht="43.5" x14ac:dyDescent="0.35">
      <c r="A828" s="6" t="s">
        <v>291</v>
      </c>
      <c r="B828" s="6" t="s">
        <v>292</v>
      </c>
      <c r="C828" s="6" t="s">
        <v>377</v>
      </c>
      <c r="D828" s="11" t="s">
        <v>294</v>
      </c>
      <c r="E828" s="17" t="s">
        <v>75</v>
      </c>
      <c r="F828" s="17" t="s">
        <v>86</v>
      </c>
      <c r="G828" s="11" t="s">
        <v>103</v>
      </c>
      <c r="H828" s="11" t="s">
        <v>125</v>
      </c>
      <c r="I828" s="17" t="s">
        <v>296</v>
      </c>
      <c r="J828" s="17">
        <v>17.083631161416999</v>
      </c>
      <c r="K828" s="17">
        <v>-96.698947701107002</v>
      </c>
      <c r="L828" s="17" t="str">
        <f>HYPERLINK("https://maps.google.com/?q=17.083631161417,-96.698947701107", "🔗 Ver Mapa")</f>
        <v>🔗 Ver Mapa</v>
      </c>
    </row>
    <row r="829" spans="1:12" ht="43.5" x14ac:dyDescent="0.35">
      <c r="A829" s="5" t="s">
        <v>291</v>
      </c>
      <c r="B829" s="5" t="s">
        <v>292</v>
      </c>
      <c r="C829" s="5" t="s">
        <v>377</v>
      </c>
      <c r="D829" s="8" t="s">
        <v>294</v>
      </c>
      <c r="E829" s="16" t="s">
        <v>75</v>
      </c>
      <c r="F829" s="16" t="s">
        <v>86</v>
      </c>
      <c r="G829" s="8" t="s">
        <v>103</v>
      </c>
      <c r="H829" s="8" t="s">
        <v>125</v>
      </c>
      <c r="I829" s="16" t="s">
        <v>296</v>
      </c>
      <c r="J829" s="16">
        <v>17.083643154714</v>
      </c>
      <c r="K829" s="16">
        <v>-96.699230407236001</v>
      </c>
      <c r="L829" s="16" t="str">
        <f>HYPERLINK("https://maps.google.com/?q=17.083643154714,-96.699230407236", "🔗 Ver Mapa")</f>
        <v>🔗 Ver Mapa</v>
      </c>
    </row>
    <row r="830" spans="1:12" ht="43.5" x14ac:dyDescent="0.35">
      <c r="A830" s="6" t="s">
        <v>291</v>
      </c>
      <c r="B830" s="6" t="s">
        <v>292</v>
      </c>
      <c r="C830" s="6" t="s">
        <v>377</v>
      </c>
      <c r="D830" s="11" t="s">
        <v>294</v>
      </c>
      <c r="E830" s="17" t="s">
        <v>75</v>
      </c>
      <c r="F830" s="17" t="s">
        <v>86</v>
      </c>
      <c r="G830" s="11" t="s">
        <v>103</v>
      </c>
      <c r="H830" s="11" t="s">
        <v>125</v>
      </c>
      <c r="I830" s="17" t="s">
        <v>296</v>
      </c>
      <c r="J830" s="17">
        <v>17.083643590217001</v>
      </c>
      <c r="K830" s="17">
        <v>-96.699749480383005</v>
      </c>
      <c r="L830" s="17" t="str">
        <f>HYPERLINK("https://maps.google.com/?q=17.083643590217,-96.699749480383", "🔗 Ver Mapa")</f>
        <v>🔗 Ver Mapa</v>
      </c>
    </row>
    <row r="831" spans="1:12" ht="43.5" x14ac:dyDescent="0.35">
      <c r="A831" s="5" t="s">
        <v>291</v>
      </c>
      <c r="B831" s="5" t="s">
        <v>292</v>
      </c>
      <c r="C831" s="5" t="s">
        <v>377</v>
      </c>
      <c r="D831" s="8" t="s">
        <v>294</v>
      </c>
      <c r="E831" s="16" t="s">
        <v>75</v>
      </c>
      <c r="F831" s="16" t="s">
        <v>86</v>
      </c>
      <c r="G831" s="8" t="s">
        <v>103</v>
      </c>
      <c r="H831" s="8" t="s">
        <v>125</v>
      </c>
      <c r="I831" s="16" t="s">
        <v>296</v>
      </c>
      <c r="J831" s="16">
        <v>17.083711061565001</v>
      </c>
      <c r="K831" s="16">
        <v>-96.694463372000996</v>
      </c>
      <c r="L831" s="16" t="str">
        <f>HYPERLINK("https://maps.google.com/?q=17.083711061565,-96.694463372001", "🔗 Ver Mapa")</f>
        <v>🔗 Ver Mapa</v>
      </c>
    </row>
    <row r="832" spans="1:12" ht="43.5" x14ac:dyDescent="0.35">
      <c r="A832" s="6" t="s">
        <v>291</v>
      </c>
      <c r="B832" s="6" t="s">
        <v>292</v>
      </c>
      <c r="C832" s="6" t="s">
        <v>377</v>
      </c>
      <c r="D832" s="11" t="s">
        <v>294</v>
      </c>
      <c r="E832" s="17" t="s">
        <v>75</v>
      </c>
      <c r="F832" s="17" t="s">
        <v>86</v>
      </c>
      <c r="G832" s="11" t="s">
        <v>103</v>
      </c>
      <c r="H832" s="11" t="s">
        <v>125</v>
      </c>
      <c r="I832" s="17" t="s">
        <v>296</v>
      </c>
      <c r="J832" s="17">
        <v>17.083742237866002</v>
      </c>
      <c r="K832" s="17">
        <v>-96.694874706679002</v>
      </c>
      <c r="L832" s="17" t="str">
        <f>HYPERLINK("https://maps.google.com/?q=17.083742237866,-96.694874706679", "🔗 Ver Mapa")</f>
        <v>🔗 Ver Mapa</v>
      </c>
    </row>
    <row r="833" spans="1:12" ht="43.5" x14ac:dyDescent="0.35">
      <c r="A833" s="5" t="s">
        <v>291</v>
      </c>
      <c r="B833" s="5" t="s">
        <v>292</v>
      </c>
      <c r="C833" s="5" t="s">
        <v>377</v>
      </c>
      <c r="D833" s="8" t="s">
        <v>294</v>
      </c>
      <c r="E833" s="16" t="s">
        <v>75</v>
      </c>
      <c r="F833" s="16" t="s">
        <v>86</v>
      </c>
      <c r="G833" s="8" t="s">
        <v>103</v>
      </c>
      <c r="H833" s="8" t="s">
        <v>125</v>
      </c>
      <c r="I833" s="16" t="s">
        <v>296</v>
      </c>
      <c r="J833" s="16">
        <v>17.083914715216999</v>
      </c>
      <c r="K833" s="16">
        <v>-96.694335594991003</v>
      </c>
      <c r="L833" s="16" t="str">
        <f>HYPERLINK("https://maps.google.com/?q=17.083914715217,-96.694335594991", "🔗 Ver Mapa")</f>
        <v>🔗 Ver Mapa</v>
      </c>
    </row>
    <row r="834" spans="1:12" ht="43.5" x14ac:dyDescent="0.35">
      <c r="A834" s="6" t="s">
        <v>291</v>
      </c>
      <c r="B834" s="6" t="s">
        <v>292</v>
      </c>
      <c r="C834" s="6" t="s">
        <v>377</v>
      </c>
      <c r="D834" s="11" t="s">
        <v>294</v>
      </c>
      <c r="E834" s="17" t="s">
        <v>75</v>
      </c>
      <c r="F834" s="17" t="s">
        <v>86</v>
      </c>
      <c r="G834" s="11" t="s">
        <v>103</v>
      </c>
      <c r="H834" s="11" t="s">
        <v>125</v>
      </c>
      <c r="I834" s="17" t="s">
        <v>296</v>
      </c>
      <c r="J834" s="17">
        <v>17.084018621411001</v>
      </c>
      <c r="K834" s="17">
        <v>-96.694131346488007</v>
      </c>
      <c r="L834" s="17" t="str">
        <f>HYPERLINK("https://maps.google.com/?q=17.084018621411,-96.694131346488", "🔗 Ver Mapa")</f>
        <v>🔗 Ver Mapa</v>
      </c>
    </row>
    <row r="835" spans="1:12" ht="43.5" x14ac:dyDescent="0.35">
      <c r="A835" s="5" t="s">
        <v>291</v>
      </c>
      <c r="B835" s="5" t="s">
        <v>292</v>
      </c>
      <c r="C835" s="5" t="s">
        <v>377</v>
      </c>
      <c r="D835" s="8" t="s">
        <v>294</v>
      </c>
      <c r="E835" s="16" t="s">
        <v>75</v>
      </c>
      <c r="F835" s="16" t="s">
        <v>86</v>
      </c>
      <c r="G835" s="8" t="s">
        <v>103</v>
      </c>
      <c r="H835" s="8" t="s">
        <v>125</v>
      </c>
      <c r="I835" s="16" t="s">
        <v>296</v>
      </c>
      <c r="J835" s="16">
        <v>17.084043038368002</v>
      </c>
      <c r="K835" s="16">
        <v>-96.696960270873006</v>
      </c>
      <c r="L835" s="16" t="str">
        <f>HYPERLINK("https://maps.google.com/?q=17.084043038368,-96.696960270873", "🔗 Ver Mapa")</f>
        <v>🔗 Ver Mapa</v>
      </c>
    </row>
    <row r="836" spans="1:12" ht="43.5" x14ac:dyDescent="0.35">
      <c r="A836" s="6" t="s">
        <v>291</v>
      </c>
      <c r="B836" s="6" t="s">
        <v>292</v>
      </c>
      <c r="C836" s="6" t="s">
        <v>377</v>
      </c>
      <c r="D836" s="11" t="s">
        <v>294</v>
      </c>
      <c r="E836" s="17" t="s">
        <v>75</v>
      </c>
      <c r="F836" s="17" t="s">
        <v>86</v>
      </c>
      <c r="G836" s="11" t="s">
        <v>103</v>
      </c>
      <c r="H836" s="11" t="s">
        <v>125</v>
      </c>
      <c r="I836" s="17" t="s">
        <v>296</v>
      </c>
      <c r="J836" s="17">
        <v>17.084159514298999</v>
      </c>
      <c r="K836" s="17">
        <v>-96.694237477252003</v>
      </c>
      <c r="L836" s="17" t="str">
        <f>HYPERLINK("https://maps.google.com/?q=17.084159514299,-96.694237477252", "🔗 Ver Mapa")</f>
        <v>🔗 Ver Mapa</v>
      </c>
    </row>
    <row r="837" spans="1:12" ht="43.5" x14ac:dyDescent="0.35">
      <c r="A837" s="5" t="s">
        <v>291</v>
      </c>
      <c r="B837" s="5" t="s">
        <v>292</v>
      </c>
      <c r="C837" s="5" t="s">
        <v>377</v>
      </c>
      <c r="D837" s="8" t="s">
        <v>294</v>
      </c>
      <c r="E837" s="16" t="s">
        <v>75</v>
      </c>
      <c r="F837" s="16" t="s">
        <v>86</v>
      </c>
      <c r="G837" s="8" t="s">
        <v>103</v>
      </c>
      <c r="H837" s="8" t="s">
        <v>125</v>
      </c>
      <c r="I837" s="16" t="s">
        <v>296</v>
      </c>
      <c r="J837" s="16">
        <v>17.08423044417</v>
      </c>
      <c r="K837" s="16">
        <v>-96.698956894375996</v>
      </c>
      <c r="L837" s="16" t="str">
        <f>HYPERLINK("https://maps.google.com/?q=17.08423044417,-96.698956894376", "🔗 Ver Mapa")</f>
        <v>🔗 Ver Mapa</v>
      </c>
    </row>
    <row r="838" spans="1:12" ht="43.5" x14ac:dyDescent="0.35">
      <c r="A838" s="6" t="s">
        <v>291</v>
      </c>
      <c r="B838" s="6" t="s">
        <v>292</v>
      </c>
      <c r="C838" s="6" t="s">
        <v>377</v>
      </c>
      <c r="D838" s="11" t="s">
        <v>294</v>
      </c>
      <c r="E838" s="17" t="s">
        <v>75</v>
      </c>
      <c r="F838" s="17" t="s">
        <v>86</v>
      </c>
      <c r="G838" s="11" t="s">
        <v>103</v>
      </c>
      <c r="H838" s="11" t="s">
        <v>125</v>
      </c>
      <c r="I838" s="17" t="s">
        <v>296</v>
      </c>
      <c r="J838" s="17">
        <v>17.084237031939999</v>
      </c>
      <c r="K838" s="17">
        <v>-96.700031578009003</v>
      </c>
      <c r="L838" s="17" t="str">
        <f>HYPERLINK("https://maps.google.com/?q=17.08423703194,-96.700031578009", "🔗 Ver Mapa")</f>
        <v>🔗 Ver Mapa</v>
      </c>
    </row>
    <row r="839" spans="1:12" ht="43.5" x14ac:dyDescent="0.35">
      <c r="A839" s="5" t="s">
        <v>291</v>
      </c>
      <c r="B839" s="5" t="s">
        <v>292</v>
      </c>
      <c r="C839" s="5" t="s">
        <v>377</v>
      </c>
      <c r="D839" s="8" t="s">
        <v>294</v>
      </c>
      <c r="E839" s="16" t="s">
        <v>75</v>
      </c>
      <c r="F839" s="16" t="s">
        <v>86</v>
      </c>
      <c r="G839" s="8" t="s">
        <v>103</v>
      </c>
      <c r="H839" s="8" t="s">
        <v>125</v>
      </c>
      <c r="I839" s="16" t="s">
        <v>296</v>
      </c>
      <c r="J839" s="16">
        <v>17.084273148556001</v>
      </c>
      <c r="K839" s="16">
        <v>-96.699192482970005</v>
      </c>
      <c r="L839" s="16" t="str">
        <f>HYPERLINK("https://maps.google.com/?q=17.084273148556,-96.69919248297", "🔗 Ver Mapa")</f>
        <v>🔗 Ver Mapa</v>
      </c>
    </row>
    <row r="840" spans="1:12" ht="43.5" x14ac:dyDescent="0.35">
      <c r="A840" s="6" t="s">
        <v>291</v>
      </c>
      <c r="B840" s="6" t="s">
        <v>292</v>
      </c>
      <c r="C840" s="6" t="s">
        <v>377</v>
      </c>
      <c r="D840" s="11" t="s">
        <v>294</v>
      </c>
      <c r="E840" s="17" t="s">
        <v>75</v>
      </c>
      <c r="F840" s="17" t="s">
        <v>86</v>
      </c>
      <c r="G840" s="11" t="s">
        <v>103</v>
      </c>
      <c r="H840" s="11" t="s">
        <v>125</v>
      </c>
      <c r="I840" s="17" t="s">
        <v>296</v>
      </c>
      <c r="J840" s="17">
        <v>17.084323935234</v>
      </c>
      <c r="K840" s="17">
        <v>-96.699002791487999</v>
      </c>
      <c r="L840" s="17" t="str">
        <f>HYPERLINK("https://maps.google.com/?q=17.084323935234,-96.699002791488", "🔗 Ver Mapa")</f>
        <v>🔗 Ver Mapa</v>
      </c>
    </row>
    <row r="841" spans="1:12" ht="43.5" x14ac:dyDescent="0.35">
      <c r="A841" s="5" t="s">
        <v>291</v>
      </c>
      <c r="B841" s="5" t="s">
        <v>292</v>
      </c>
      <c r="C841" s="5" t="s">
        <v>377</v>
      </c>
      <c r="D841" s="8" t="s">
        <v>294</v>
      </c>
      <c r="E841" s="16" t="s">
        <v>75</v>
      </c>
      <c r="F841" s="16" t="s">
        <v>86</v>
      </c>
      <c r="G841" s="8" t="s">
        <v>103</v>
      </c>
      <c r="H841" s="8" t="s">
        <v>125</v>
      </c>
      <c r="I841" s="16" t="s">
        <v>296</v>
      </c>
      <c r="J841" s="16">
        <v>17.084447166501</v>
      </c>
      <c r="K841" s="16">
        <v>-96.695948329494996</v>
      </c>
      <c r="L841" s="16" t="str">
        <f>HYPERLINK("https://maps.google.com/?q=17.084447166501,-96.695948329495", "🔗 Ver Mapa")</f>
        <v>🔗 Ver Mapa</v>
      </c>
    </row>
    <row r="842" spans="1:12" ht="43.5" x14ac:dyDescent="0.35">
      <c r="A842" s="6" t="s">
        <v>291</v>
      </c>
      <c r="B842" s="6" t="s">
        <v>292</v>
      </c>
      <c r="C842" s="6" t="s">
        <v>377</v>
      </c>
      <c r="D842" s="11" t="s">
        <v>294</v>
      </c>
      <c r="E842" s="17" t="s">
        <v>75</v>
      </c>
      <c r="F842" s="17" t="s">
        <v>86</v>
      </c>
      <c r="G842" s="11" t="s">
        <v>103</v>
      </c>
      <c r="H842" s="11" t="s">
        <v>125</v>
      </c>
      <c r="I842" s="17" t="s">
        <v>296</v>
      </c>
      <c r="J842" s="17">
        <v>17.084504242537999</v>
      </c>
      <c r="K842" s="17">
        <v>-96.700399776571999</v>
      </c>
      <c r="L842" s="17" t="str">
        <f>HYPERLINK("https://maps.google.com/?q=17.084504242538,-96.700399776572", "🔗 Ver Mapa")</f>
        <v>🔗 Ver Mapa</v>
      </c>
    </row>
    <row r="843" spans="1:12" ht="43.5" x14ac:dyDescent="0.35">
      <c r="A843" s="5" t="s">
        <v>291</v>
      </c>
      <c r="B843" s="5" t="s">
        <v>292</v>
      </c>
      <c r="C843" s="5" t="s">
        <v>377</v>
      </c>
      <c r="D843" s="8" t="s">
        <v>294</v>
      </c>
      <c r="E843" s="16" t="s">
        <v>75</v>
      </c>
      <c r="F843" s="16" t="s">
        <v>86</v>
      </c>
      <c r="G843" s="8" t="s">
        <v>103</v>
      </c>
      <c r="H843" s="8" t="s">
        <v>125</v>
      </c>
      <c r="I843" s="16" t="s">
        <v>296</v>
      </c>
      <c r="J843" s="16">
        <v>17.084571027751</v>
      </c>
      <c r="K843" s="16">
        <v>-96.700137012013002</v>
      </c>
      <c r="L843" s="16" t="str">
        <f>HYPERLINK("https://maps.google.com/?q=17.084571027751,-96.700137012013", "🔗 Ver Mapa")</f>
        <v>🔗 Ver Mapa</v>
      </c>
    </row>
    <row r="844" spans="1:12" ht="43.5" x14ac:dyDescent="0.35">
      <c r="A844" s="6" t="s">
        <v>291</v>
      </c>
      <c r="B844" s="6" t="s">
        <v>292</v>
      </c>
      <c r="C844" s="6" t="s">
        <v>377</v>
      </c>
      <c r="D844" s="11" t="s">
        <v>294</v>
      </c>
      <c r="E844" s="17" t="s">
        <v>75</v>
      </c>
      <c r="F844" s="17" t="s">
        <v>86</v>
      </c>
      <c r="G844" s="11" t="s">
        <v>103</v>
      </c>
      <c r="H844" s="11" t="s">
        <v>125</v>
      </c>
      <c r="I844" s="17" t="s">
        <v>296</v>
      </c>
      <c r="J844" s="17">
        <v>17.084621960202998</v>
      </c>
      <c r="K844" s="17">
        <v>-96.699523623450006</v>
      </c>
      <c r="L844" s="17" t="str">
        <f>HYPERLINK("https://maps.google.com/?q=17.084621960203,-96.69952362345", "🔗 Ver Mapa")</f>
        <v>🔗 Ver Mapa</v>
      </c>
    </row>
    <row r="845" spans="1:12" ht="43.5" x14ac:dyDescent="0.35">
      <c r="A845" s="5" t="s">
        <v>291</v>
      </c>
      <c r="B845" s="5" t="s">
        <v>292</v>
      </c>
      <c r="C845" s="5" t="s">
        <v>377</v>
      </c>
      <c r="D845" s="8" t="s">
        <v>294</v>
      </c>
      <c r="E845" s="16" t="s">
        <v>75</v>
      </c>
      <c r="F845" s="16" t="s">
        <v>86</v>
      </c>
      <c r="G845" s="8" t="s">
        <v>103</v>
      </c>
      <c r="H845" s="8" t="s">
        <v>125</v>
      </c>
      <c r="I845" s="16" t="s">
        <v>296</v>
      </c>
      <c r="J845" s="16">
        <v>17.084785886258999</v>
      </c>
      <c r="K845" s="16">
        <v>-96.700188439868995</v>
      </c>
      <c r="L845" s="16" t="str">
        <f>HYPERLINK("https://maps.google.com/?q=17.084785886259,-96.700188439869", "🔗 Ver Mapa")</f>
        <v>🔗 Ver Mapa</v>
      </c>
    </row>
    <row r="846" spans="1:12" ht="43.5" x14ac:dyDescent="0.35">
      <c r="A846" s="6" t="s">
        <v>291</v>
      </c>
      <c r="B846" s="6" t="s">
        <v>292</v>
      </c>
      <c r="C846" s="6" t="s">
        <v>377</v>
      </c>
      <c r="D846" s="11" t="s">
        <v>294</v>
      </c>
      <c r="E846" s="17" t="s">
        <v>75</v>
      </c>
      <c r="F846" s="17" t="s">
        <v>86</v>
      </c>
      <c r="G846" s="11" t="s">
        <v>103</v>
      </c>
      <c r="H846" s="11" t="s">
        <v>125</v>
      </c>
      <c r="I846" s="17" t="s">
        <v>296</v>
      </c>
      <c r="J846" s="17">
        <v>17.084826455527999</v>
      </c>
      <c r="K846" s="17">
        <v>-96.696117880694999</v>
      </c>
      <c r="L846" s="17" t="str">
        <f>HYPERLINK("https://maps.google.com/?q=17.084826455528,-96.696117880695", "🔗 Ver Mapa")</f>
        <v>🔗 Ver Mapa</v>
      </c>
    </row>
    <row r="847" spans="1:12" ht="43.5" x14ac:dyDescent="0.35">
      <c r="A847" s="5" t="s">
        <v>291</v>
      </c>
      <c r="B847" s="5" t="s">
        <v>292</v>
      </c>
      <c r="C847" s="5" t="s">
        <v>377</v>
      </c>
      <c r="D847" s="8" t="s">
        <v>294</v>
      </c>
      <c r="E847" s="16" t="s">
        <v>75</v>
      </c>
      <c r="F847" s="16" t="s">
        <v>86</v>
      </c>
      <c r="G847" s="8" t="s">
        <v>103</v>
      </c>
      <c r="H847" s="8" t="s">
        <v>125</v>
      </c>
      <c r="I847" s="16" t="s">
        <v>296</v>
      </c>
      <c r="J847" s="16">
        <v>17.084850583954999</v>
      </c>
      <c r="K847" s="16">
        <v>-96.698269299971003</v>
      </c>
      <c r="L847" s="16" t="str">
        <f>HYPERLINK("https://maps.google.com/?q=17.084850583955,-96.698269299971", "🔗 Ver Mapa")</f>
        <v>🔗 Ver Mapa</v>
      </c>
    </row>
    <row r="848" spans="1:12" ht="43.5" x14ac:dyDescent="0.35">
      <c r="A848" s="6" t="s">
        <v>291</v>
      </c>
      <c r="B848" s="6" t="s">
        <v>292</v>
      </c>
      <c r="C848" s="6" t="s">
        <v>377</v>
      </c>
      <c r="D848" s="11" t="s">
        <v>294</v>
      </c>
      <c r="E848" s="17" t="s">
        <v>75</v>
      </c>
      <c r="F848" s="17" t="s">
        <v>86</v>
      </c>
      <c r="G848" s="11" t="s">
        <v>103</v>
      </c>
      <c r="H848" s="11" t="s">
        <v>125</v>
      </c>
      <c r="I848" s="17" t="s">
        <v>296</v>
      </c>
      <c r="J848" s="17">
        <v>17.084937009181999</v>
      </c>
      <c r="K848" s="17">
        <v>-96.700163812943003</v>
      </c>
      <c r="L848" s="17" t="str">
        <f>HYPERLINK("https://maps.google.com/?q=17.084937009182,-96.700163812943", "🔗 Ver Mapa")</f>
        <v>🔗 Ver Mapa</v>
      </c>
    </row>
    <row r="849" spans="1:12" ht="43.5" x14ac:dyDescent="0.35">
      <c r="A849" s="5" t="s">
        <v>291</v>
      </c>
      <c r="B849" s="5" t="s">
        <v>292</v>
      </c>
      <c r="C849" s="5" t="s">
        <v>377</v>
      </c>
      <c r="D849" s="8" t="s">
        <v>294</v>
      </c>
      <c r="E849" s="16" t="s">
        <v>75</v>
      </c>
      <c r="F849" s="16" t="s">
        <v>86</v>
      </c>
      <c r="G849" s="8" t="s">
        <v>103</v>
      </c>
      <c r="H849" s="8" t="s">
        <v>125</v>
      </c>
      <c r="I849" s="16" t="s">
        <v>296</v>
      </c>
      <c r="J849" s="16">
        <v>17.084977754572002</v>
      </c>
      <c r="K849" s="16">
        <v>-96.699485588694003</v>
      </c>
      <c r="L849" s="16" t="str">
        <f>HYPERLINK("https://maps.google.com/?q=17.084977754572,-96.699485588694", "🔗 Ver Mapa")</f>
        <v>🔗 Ver Mapa</v>
      </c>
    </row>
    <row r="850" spans="1:12" ht="43.5" x14ac:dyDescent="0.35">
      <c r="A850" s="6" t="s">
        <v>291</v>
      </c>
      <c r="B850" s="6" t="s">
        <v>292</v>
      </c>
      <c r="C850" s="6" t="s">
        <v>377</v>
      </c>
      <c r="D850" s="11" t="s">
        <v>294</v>
      </c>
      <c r="E850" s="17" t="s">
        <v>75</v>
      </c>
      <c r="F850" s="17" t="s">
        <v>86</v>
      </c>
      <c r="G850" s="11" t="s">
        <v>103</v>
      </c>
      <c r="H850" s="11" t="s">
        <v>125</v>
      </c>
      <c r="I850" s="17" t="s">
        <v>296</v>
      </c>
      <c r="J850" s="17">
        <v>17.085070835421</v>
      </c>
      <c r="K850" s="17">
        <v>-96.694131853005004</v>
      </c>
      <c r="L850" s="17" t="str">
        <f>HYPERLINK("https://maps.google.com/?q=17.085070835421,-96.694131853005", "🔗 Ver Mapa")</f>
        <v>🔗 Ver Mapa</v>
      </c>
    </row>
    <row r="851" spans="1:12" ht="43.5" x14ac:dyDescent="0.35">
      <c r="A851" s="5" t="s">
        <v>291</v>
      </c>
      <c r="B851" s="5" t="s">
        <v>292</v>
      </c>
      <c r="C851" s="5" t="s">
        <v>377</v>
      </c>
      <c r="D851" s="8" t="s">
        <v>294</v>
      </c>
      <c r="E851" s="16" t="s">
        <v>75</v>
      </c>
      <c r="F851" s="16" t="s">
        <v>86</v>
      </c>
      <c r="G851" s="8" t="s">
        <v>103</v>
      </c>
      <c r="H851" s="8" t="s">
        <v>125</v>
      </c>
      <c r="I851" s="16" t="s">
        <v>296</v>
      </c>
      <c r="J851" s="16">
        <v>17.085074169199</v>
      </c>
      <c r="K851" s="16">
        <v>-96.694513732095999</v>
      </c>
      <c r="L851" s="16" t="str">
        <f>HYPERLINK("https://maps.google.com/?q=17.085074169199,-96.694513732096", "🔗 Ver Mapa")</f>
        <v>🔗 Ver Mapa</v>
      </c>
    </row>
    <row r="852" spans="1:12" ht="43.5" x14ac:dyDescent="0.35">
      <c r="A852" s="6" t="s">
        <v>291</v>
      </c>
      <c r="B852" s="6" t="s">
        <v>292</v>
      </c>
      <c r="C852" s="6" t="s">
        <v>377</v>
      </c>
      <c r="D852" s="11" t="s">
        <v>294</v>
      </c>
      <c r="E852" s="17" t="s">
        <v>75</v>
      </c>
      <c r="F852" s="17" t="s">
        <v>86</v>
      </c>
      <c r="G852" s="11" t="s">
        <v>103</v>
      </c>
      <c r="H852" s="11" t="s">
        <v>125</v>
      </c>
      <c r="I852" s="17" t="s">
        <v>296</v>
      </c>
      <c r="J852" s="17">
        <v>17.085183164216001</v>
      </c>
      <c r="K852" s="17">
        <v>-96.698854068958994</v>
      </c>
      <c r="L852" s="17" t="str">
        <f>HYPERLINK("https://maps.google.com/?q=17.085183164216,-96.698854068959", "🔗 Ver Mapa")</f>
        <v>🔗 Ver Mapa</v>
      </c>
    </row>
    <row r="853" spans="1:12" ht="43.5" x14ac:dyDescent="0.35">
      <c r="A853" s="5" t="s">
        <v>291</v>
      </c>
      <c r="B853" s="5" t="s">
        <v>292</v>
      </c>
      <c r="C853" s="5" t="s">
        <v>377</v>
      </c>
      <c r="D853" s="8" t="s">
        <v>294</v>
      </c>
      <c r="E853" s="16" t="s">
        <v>75</v>
      </c>
      <c r="F853" s="16" t="s">
        <v>86</v>
      </c>
      <c r="G853" s="8" t="s">
        <v>103</v>
      </c>
      <c r="H853" s="8" t="s">
        <v>125</v>
      </c>
      <c r="I853" s="16" t="s">
        <v>296</v>
      </c>
      <c r="J853" s="16">
        <v>17.085228028353999</v>
      </c>
      <c r="K853" s="16">
        <v>-96.698721061664003</v>
      </c>
      <c r="L853" s="16" t="str">
        <f>HYPERLINK("https://maps.google.com/?q=17.085228028354,-96.698721061664", "🔗 Ver Mapa")</f>
        <v>🔗 Ver Mapa</v>
      </c>
    </row>
    <row r="854" spans="1:12" ht="43.5" x14ac:dyDescent="0.35">
      <c r="A854" s="6" t="s">
        <v>291</v>
      </c>
      <c r="B854" s="6" t="s">
        <v>292</v>
      </c>
      <c r="C854" s="6" t="s">
        <v>377</v>
      </c>
      <c r="D854" s="11" t="s">
        <v>294</v>
      </c>
      <c r="E854" s="17" t="s">
        <v>75</v>
      </c>
      <c r="F854" s="17" t="s">
        <v>86</v>
      </c>
      <c r="G854" s="11" t="s">
        <v>103</v>
      </c>
      <c r="H854" s="11" t="s">
        <v>125</v>
      </c>
      <c r="I854" s="17" t="s">
        <v>296</v>
      </c>
      <c r="J854" s="17">
        <v>17.085325795014999</v>
      </c>
      <c r="K854" s="17">
        <v>-96.698476580928002</v>
      </c>
      <c r="L854" s="17" t="str">
        <f>HYPERLINK("https://maps.google.com/?q=17.085325795015,-96.698476580928", "🔗 Ver Mapa")</f>
        <v>🔗 Ver Mapa</v>
      </c>
    </row>
    <row r="855" spans="1:12" ht="43.5" x14ac:dyDescent="0.35">
      <c r="A855" s="5" t="s">
        <v>291</v>
      </c>
      <c r="B855" s="5" t="s">
        <v>292</v>
      </c>
      <c r="C855" s="5" t="s">
        <v>377</v>
      </c>
      <c r="D855" s="8" t="s">
        <v>294</v>
      </c>
      <c r="E855" s="16" t="s">
        <v>75</v>
      </c>
      <c r="F855" s="16" t="s">
        <v>86</v>
      </c>
      <c r="G855" s="8" t="s">
        <v>103</v>
      </c>
      <c r="H855" s="8" t="s">
        <v>125</v>
      </c>
      <c r="I855" s="16" t="s">
        <v>296</v>
      </c>
      <c r="J855" s="16">
        <v>17.085352339945999</v>
      </c>
      <c r="K855" s="16">
        <v>-96.696825811921997</v>
      </c>
      <c r="L855" s="16" t="str">
        <f>HYPERLINK("https://maps.google.com/?q=17.085352339946,-96.696825811922", "🔗 Ver Mapa")</f>
        <v>🔗 Ver Mapa</v>
      </c>
    </row>
    <row r="856" spans="1:12" ht="43.5" x14ac:dyDescent="0.35">
      <c r="A856" s="6" t="s">
        <v>291</v>
      </c>
      <c r="B856" s="6" t="s">
        <v>292</v>
      </c>
      <c r="C856" s="6" t="s">
        <v>377</v>
      </c>
      <c r="D856" s="11" t="s">
        <v>294</v>
      </c>
      <c r="E856" s="17" t="s">
        <v>75</v>
      </c>
      <c r="F856" s="17" t="s">
        <v>86</v>
      </c>
      <c r="G856" s="11" t="s">
        <v>103</v>
      </c>
      <c r="H856" s="11" t="s">
        <v>125</v>
      </c>
      <c r="I856" s="17" t="s">
        <v>296</v>
      </c>
      <c r="J856" s="17">
        <v>17.085508498155001</v>
      </c>
      <c r="K856" s="17">
        <v>-96.697655531701997</v>
      </c>
      <c r="L856" s="17" t="str">
        <f>HYPERLINK("https://maps.google.com/?q=17.085508498155,-96.697655531702", "🔗 Ver Mapa")</f>
        <v>🔗 Ver Mapa</v>
      </c>
    </row>
    <row r="857" spans="1:12" ht="43.5" x14ac:dyDescent="0.35">
      <c r="A857" s="5" t="s">
        <v>291</v>
      </c>
      <c r="B857" s="5" t="s">
        <v>292</v>
      </c>
      <c r="C857" s="5" t="s">
        <v>377</v>
      </c>
      <c r="D857" s="8" t="s">
        <v>294</v>
      </c>
      <c r="E857" s="16" t="s">
        <v>75</v>
      </c>
      <c r="F857" s="16" t="s">
        <v>86</v>
      </c>
      <c r="G857" s="8" t="s">
        <v>103</v>
      </c>
      <c r="H857" s="8" t="s">
        <v>125</v>
      </c>
      <c r="I857" s="16" t="s">
        <v>296</v>
      </c>
      <c r="J857" s="16">
        <v>17.085598145437999</v>
      </c>
      <c r="K857" s="16">
        <v>-96.694054976399002</v>
      </c>
      <c r="L857" s="16" t="str">
        <f>HYPERLINK("https://maps.google.com/?q=17.085598145438,-96.694054976399", "🔗 Ver Mapa")</f>
        <v>🔗 Ver Mapa</v>
      </c>
    </row>
    <row r="858" spans="1:12" ht="43.5" x14ac:dyDescent="0.35">
      <c r="A858" s="6" t="s">
        <v>291</v>
      </c>
      <c r="B858" s="6" t="s">
        <v>292</v>
      </c>
      <c r="C858" s="6" t="s">
        <v>377</v>
      </c>
      <c r="D858" s="11" t="s">
        <v>294</v>
      </c>
      <c r="E858" s="17" t="s">
        <v>75</v>
      </c>
      <c r="F858" s="17" t="s">
        <v>86</v>
      </c>
      <c r="G858" s="11" t="s">
        <v>103</v>
      </c>
      <c r="H858" s="11" t="s">
        <v>125</v>
      </c>
      <c r="I858" s="17" t="s">
        <v>296</v>
      </c>
      <c r="J858" s="17">
        <v>17.085731814359001</v>
      </c>
      <c r="K858" s="17">
        <v>-96.694297250543002</v>
      </c>
      <c r="L858" s="17" t="str">
        <f>HYPERLINK("https://maps.google.com/?q=17.085731814359,-96.694297250543", "🔗 Ver Mapa")</f>
        <v>🔗 Ver Mapa</v>
      </c>
    </row>
    <row r="859" spans="1:12" ht="43.5" x14ac:dyDescent="0.35">
      <c r="A859" s="5" t="s">
        <v>291</v>
      </c>
      <c r="B859" s="5" t="s">
        <v>292</v>
      </c>
      <c r="C859" s="5" t="s">
        <v>377</v>
      </c>
      <c r="D859" s="8" t="s">
        <v>294</v>
      </c>
      <c r="E859" s="16" t="s">
        <v>75</v>
      </c>
      <c r="F859" s="16" t="s">
        <v>86</v>
      </c>
      <c r="G859" s="8" t="s">
        <v>103</v>
      </c>
      <c r="H859" s="8" t="s">
        <v>125</v>
      </c>
      <c r="I859" s="16" t="s">
        <v>296</v>
      </c>
      <c r="J859" s="16">
        <v>17.085735242993</v>
      </c>
      <c r="K859" s="16">
        <v>-96.696780378661003</v>
      </c>
      <c r="L859" s="16" t="str">
        <f>HYPERLINK("https://maps.google.com/?q=17.085735242993,-96.696780378661", "🔗 Ver Mapa")</f>
        <v>🔗 Ver Mapa</v>
      </c>
    </row>
    <row r="860" spans="1:12" ht="43.5" x14ac:dyDescent="0.35">
      <c r="A860" s="6" t="s">
        <v>291</v>
      </c>
      <c r="B860" s="6" t="s">
        <v>292</v>
      </c>
      <c r="C860" s="6" t="s">
        <v>377</v>
      </c>
      <c r="D860" s="11" t="s">
        <v>294</v>
      </c>
      <c r="E860" s="17" t="s">
        <v>75</v>
      </c>
      <c r="F860" s="17" t="s">
        <v>86</v>
      </c>
      <c r="G860" s="11" t="s">
        <v>103</v>
      </c>
      <c r="H860" s="11" t="s">
        <v>125</v>
      </c>
      <c r="I860" s="17" t="s">
        <v>296</v>
      </c>
      <c r="J860" s="17">
        <v>17.085744457383001</v>
      </c>
      <c r="K860" s="17">
        <v>-96.697059455803995</v>
      </c>
      <c r="L860" s="17" t="str">
        <f>HYPERLINK("https://maps.google.com/?q=17.085744457383,-96.697059455804", "🔗 Ver Mapa")</f>
        <v>🔗 Ver Mapa</v>
      </c>
    </row>
    <row r="861" spans="1:12" ht="43.5" x14ac:dyDescent="0.35">
      <c r="A861" s="5" t="s">
        <v>291</v>
      </c>
      <c r="B861" s="5" t="s">
        <v>292</v>
      </c>
      <c r="C861" s="5" t="s">
        <v>377</v>
      </c>
      <c r="D861" s="8" t="s">
        <v>294</v>
      </c>
      <c r="E861" s="16" t="s">
        <v>75</v>
      </c>
      <c r="F861" s="16" t="s">
        <v>86</v>
      </c>
      <c r="G861" s="8" t="s">
        <v>103</v>
      </c>
      <c r="H861" s="8" t="s">
        <v>125</v>
      </c>
      <c r="I861" s="16" t="s">
        <v>296</v>
      </c>
      <c r="J861" s="16">
        <v>17.085770380461</v>
      </c>
      <c r="K861" s="16">
        <v>-96.696764299807</v>
      </c>
      <c r="L861" s="16" t="str">
        <f>HYPERLINK("https://maps.google.com/?q=17.085770380461,-96.696764299807", "🔗 Ver Mapa")</f>
        <v>🔗 Ver Mapa</v>
      </c>
    </row>
    <row r="862" spans="1:12" ht="43.5" x14ac:dyDescent="0.35">
      <c r="A862" s="6" t="s">
        <v>291</v>
      </c>
      <c r="B862" s="6" t="s">
        <v>292</v>
      </c>
      <c r="C862" s="6" t="s">
        <v>377</v>
      </c>
      <c r="D862" s="11" t="s">
        <v>294</v>
      </c>
      <c r="E862" s="17" t="s">
        <v>75</v>
      </c>
      <c r="F862" s="17" t="s">
        <v>86</v>
      </c>
      <c r="G862" s="11" t="s">
        <v>103</v>
      </c>
      <c r="H862" s="11" t="s">
        <v>125</v>
      </c>
      <c r="I862" s="17" t="s">
        <v>296</v>
      </c>
      <c r="J862" s="17">
        <v>17.085995635583998</v>
      </c>
      <c r="K862" s="17">
        <v>-96.695961434870995</v>
      </c>
      <c r="L862" s="17" t="str">
        <f>HYPERLINK("https://maps.google.com/?q=17.085995635584,-96.695961434871", "🔗 Ver Mapa")</f>
        <v>🔗 Ver Mapa</v>
      </c>
    </row>
    <row r="863" spans="1:12" ht="43.5" x14ac:dyDescent="0.35">
      <c r="A863" s="5" t="s">
        <v>291</v>
      </c>
      <c r="B863" s="5" t="s">
        <v>292</v>
      </c>
      <c r="C863" s="5" t="s">
        <v>377</v>
      </c>
      <c r="D863" s="8" t="s">
        <v>294</v>
      </c>
      <c r="E863" s="16" t="s">
        <v>75</v>
      </c>
      <c r="F863" s="16" t="s">
        <v>86</v>
      </c>
      <c r="G863" s="8" t="s">
        <v>103</v>
      </c>
      <c r="H863" s="8" t="s">
        <v>125</v>
      </c>
      <c r="I863" s="16" t="s">
        <v>296</v>
      </c>
      <c r="J863" s="16">
        <v>17.086123217585001</v>
      </c>
      <c r="K863" s="16">
        <v>-96.697168139064999</v>
      </c>
      <c r="L863" s="16" t="str">
        <f>HYPERLINK("https://maps.google.com/?q=17.086123217585,-96.697168139065", "🔗 Ver Mapa")</f>
        <v>🔗 Ver Mapa</v>
      </c>
    </row>
    <row r="864" spans="1:12" ht="43.5" x14ac:dyDescent="0.35">
      <c r="A864" s="6" t="s">
        <v>291</v>
      </c>
      <c r="B864" s="6" t="s">
        <v>292</v>
      </c>
      <c r="C864" s="6" t="s">
        <v>377</v>
      </c>
      <c r="D864" s="11" t="s">
        <v>294</v>
      </c>
      <c r="E864" s="17" t="s">
        <v>75</v>
      </c>
      <c r="F864" s="17" t="s">
        <v>86</v>
      </c>
      <c r="G864" s="11" t="s">
        <v>103</v>
      </c>
      <c r="H864" s="11" t="s">
        <v>125</v>
      </c>
      <c r="I864" s="17" t="s">
        <v>296</v>
      </c>
      <c r="J864" s="17">
        <v>17.086231288638</v>
      </c>
      <c r="K864" s="17">
        <v>-96.695171182916994</v>
      </c>
      <c r="L864" s="17" t="str">
        <f>HYPERLINK("https://maps.google.com/?q=17.086231288638,-96.695171182917", "🔗 Ver Mapa")</f>
        <v>🔗 Ver Mapa</v>
      </c>
    </row>
    <row r="865" spans="1:12" ht="43.5" x14ac:dyDescent="0.35">
      <c r="A865" s="5" t="s">
        <v>291</v>
      </c>
      <c r="B865" s="5" t="s">
        <v>292</v>
      </c>
      <c r="C865" s="5" t="s">
        <v>377</v>
      </c>
      <c r="D865" s="8" t="s">
        <v>294</v>
      </c>
      <c r="E865" s="16" t="s">
        <v>75</v>
      </c>
      <c r="F865" s="16" t="s">
        <v>86</v>
      </c>
      <c r="G865" s="8" t="s">
        <v>103</v>
      </c>
      <c r="H865" s="8" t="s">
        <v>125</v>
      </c>
      <c r="I865" s="16" t="s">
        <v>296</v>
      </c>
      <c r="J865" s="16">
        <v>17.086416233426998</v>
      </c>
      <c r="K865" s="16">
        <v>-96.696951598907006</v>
      </c>
      <c r="L865" s="16" t="str">
        <f>HYPERLINK("https://maps.google.com/?q=17.086416233427,-96.696951598907", "🔗 Ver Mapa")</f>
        <v>🔗 Ver Mapa</v>
      </c>
    </row>
    <row r="866" spans="1:12" ht="43.5" x14ac:dyDescent="0.35">
      <c r="A866" s="6" t="s">
        <v>291</v>
      </c>
      <c r="B866" s="6" t="s">
        <v>292</v>
      </c>
      <c r="C866" s="6" t="s">
        <v>377</v>
      </c>
      <c r="D866" s="11" t="s">
        <v>294</v>
      </c>
      <c r="E866" s="17" t="s">
        <v>75</v>
      </c>
      <c r="F866" s="17" t="s">
        <v>86</v>
      </c>
      <c r="G866" s="11" t="s">
        <v>103</v>
      </c>
      <c r="H866" s="11" t="s">
        <v>125</v>
      </c>
      <c r="I866" s="17" t="s">
        <v>296</v>
      </c>
      <c r="J866" s="17">
        <v>17.086462180658</v>
      </c>
      <c r="K866" s="17">
        <v>-96.694376329584003</v>
      </c>
      <c r="L866" s="17" t="str">
        <f>HYPERLINK("https://maps.google.com/?q=17.086462180658,-96.694376329584", "🔗 Ver Mapa")</f>
        <v>🔗 Ver Mapa</v>
      </c>
    </row>
    <row r="867" spans="1:12" ht="43.5" x14ac:dyDescent="0.35">
      <c r="A867" s="5" t="s">
        <v>291</v>
      </c>
      <c r="B867" s="5" t="s">
        <v>292</v>
      </c>
      <c r="C867" s="5" t="s">
        <v>377</v>
      </c>
      <c r="D867" s="8" t="s">
        <v>294</v>
      </c>
      <c r="E867" s="16" t="s">
        <v>75</v>
      </c>
      <c r="F867" s="16" t="s">
        <v>86</v>
      </c>
      <c r="G867" s="8" t="s">
        <v>103</v>
      </c>
      <c r="H867" s="8" t="s">
        <v>125</v>
      </c>
      <c r="I867" s="16" t="s">
        <v>296</v>
      </c>
      <c r="J867" s="16">
        <v>17.086542322869001</v>
      </c>
      <c r="K867" s="16">
        <v>-96.694122031218996</v>
      </c>
      <c r="L867" s="16" t="str">
        <f>HYPERLINK("https://maps.google.com/?q=17.086542322869,-96.694122031219", "🔗 Ver Mapa")</f>
        <v>🔗 Ver Mapa</v>
      </c>
    </row>
    <row r="868" spans="1:12" ht="43.5" x14ac:dyDescent="0.35">
      <c r="A868" s="6" t="s">
        <v>291</v>
      </c>
      <c r="B868" s="6" t="s">
        <v>292</v>
      </c>
      <c r="C868" s="6" t="s">
        <v>377</v>
      </c>
      <c r="D868" s="11" t="s">
        <v>294</v>
      </c>
      <c r="E868" s="17" t="s">
        <v>75</v>
      </c>
      <c r="F868" s="17" t="s">
        <v>86</v>
      </c>
      <c r="G868" s="11" t="s">
        <v>103</v>
      </c>
      <c r="H868" s="11" t="s">
        <v>125</v>
      </c>
      <c r="I868" s="17" t="s">
        <v>296</v>
      </c>
      <c r="J868" s="17">
        <v>17.086592684984002</v>
      </c>
      <c r="K868" s="17">
        <v>-96.693813156233006</v>
      </c>
      <c r="L868" s="17" t="str">
        <f>HYPERLINK("https://maps.google.com/?q=17.086592684984,-96.693813156233", "🔗 Ver Mapa")</f>
        <v>🔗 Ver Mapa</v>
      </c>
    </row>
    <row r="869" spans="1:12" ht="43.5" x14ac:dyDescent="0.35">
      <c r="A869" s="5" t="s">
        <v>291</v>
      </c>
      <c r="B869" s="5" t="s">
        <v>292</v>
      </c>
      <c r="C869" s="5" t="s">
        <v>377</v>
      </c>
      <c r="D869" s="8" t="s">
        <v>294</v>
      </c>
      <c r="E869" s="16" t="s">
        <v>75</v>
      </c>
      <c r="F869" s="16" t="s">
        <v>86</v>
      </c>
      <c r="G869" s="8" t="s">
        <v>103</v>
      </c>
      <c r="H869" s="8" t="s">
        <v>125</v>
      </c>
      <c r="I869" s="16" t="s">
        <v>296</v>
      </c>
      <c r="J869" s="16">
        <v>17.086594634609</v>
      </c>
      <c r="K869" s="16">
        <v>-96.693929950227002</v>
      </c>
      <c r="L869" s="16" t="str">
        <f>HYPERLINK("https://maps.google.com/?q=17.086594634609,-96.693929950227", "🔗 Ver Mapa")</f>
        <v>🔗 Ver Mapa</v>
      </c>
    </row>
    <row r="870" spans="1:12" ht="43.5" x14ac:dyDescent="0.35">
      <c r="A870" s="6" t="s">
        <v>291</v>
      </c>
      <c r="B870" s="6" t="s">
        <v>292</v>
      </c>
      <c r="C870" s="6" t="s">
        <v>377</v>
      </c>
      <c r="D870" s="11" t="s">
        <v>294</v>
      </c>
      <c r="E870" s="17" t="s">
        <v>75</v>
      </c>
      <c r="F870" s="17" t="s">
        <v>86</v>
      </c>
      <c r="G870" s="11" t="s">
        <v>103</v>
      </c>
      <c r="H870" s="11" t="s">
        <v>125</v>
      </c>
      <c r="I870" s="17" t="s">
        <v>296</v>
      </c>
      <c r="J870" s="17">
        <v>17.086682655198</v>
      </c>
      <c r="K870" s="17">
        <v>-96.696101856883004</v>
      </c>
      <c r="L870" s="17" t="str">
        <f>HYPERLINK("https://maps.google.com/?q=17.086682655198,-96.696101856883", "🔗 Ver Mapa")</f>
        <v>🔗 Ver Mapa</v>
      </c>
    </row>
    <row r="871" spans="1:12" ht="43.5" x14ac:dyDescent="0.35">
      <c r="A871" s="5" t="s">
        <v>291</v>
      </c>
      <c r="B871" s="5" t="s">
        <v>292</v>
      </c>
      <c r="C871" s="5" t="s">
        <v>377</v>
      </c>
      <c r="D871" s="8" t="s">
        <v>294</v>
      </c>
      <c r="E871" s="16" t="s">
        <v>75</v>
      </c>
      <c r="F871" s="16" t="s">
        <v>86</v>
      </c>
      <c r="G871" s="8" t="s">
        <v>103</v>
      </c>
      <c r="H871" s="8" t="s">
        <v>125</v>
      </c>
      <c r="I871" s="16" t="s">
        <v>296</v>
      </c>
      <c r="J871" s="16">
        <v>17.086810201056</v>
      </c>
      <c r="K871" s="16">
        <v>-96.694451767529003</v>
      </c>
      <c r="L871" s="16" t="str">
        <f>HYPERLINK("https://maps.google.com/?q=17.086810201056,-96.694451767529", "🔗 Ver Mapa")</f>
        <v>🔗 Ver Mapa</v>
      </c>
    </row>
    <row r="872" spans="1:12" ht="43.5" x14ac:dyDescent="0.35">
      <c r="A872" s="6" t="s">
        <v>291</v>
      </c>
      <c r="B872" s="6" t="s">
        <v>292</v>
      </c>
      <c r="C872" s="6" t="s">
        <v>377</v>
      </c>
      <c r="D872" s="11" t="s">
        <v>294</v>
      </c>
      <c r="E872" s="17" t="s">
        <v>75</v>
      </c>
      <c r="F872" s="17" t="s">
        <v>86</v>
      </c>
      <c r="G872" s="11" t="s">
        <v>103</v>
      </c>
      <c r="H872" s="11" t="s">
        <v>125</v>
      </c>
      <c r="I872" s="17" t="s">
        <v>296</v>
      </c>
      <c r="J872" s="17">
        <v>17.086892648845001</v>
      </c>
      <c r="K872" s="17">
        <v>-96.69535719788</v>
      </c>
      <c r="L872" s="17" t="str">
        <f>HYPERLINK("https://maps.google.com/?q=17.086892648845,-96.69535719788", "🔗 Ver Mapa")</f>
        <v>🔗 Ver Mapa</v>
      </c>
    </row>
    <row r="873" spans="1:12" ht="43.5" x14ac:dyDescent="0.35">
      <c r="A873" s="5" t="s">
        <v>291</v>
      </c>
      <c r="B873" s="5" t="s">
        <v>292</v>
      </c>
      <c r="C873" s="5" t="s">
        <v>377</v>
      </c>
      <c r="D873" s="8" t="s">
        <v>294</v>
      </c>
      <c r="E873" s="16" t="s">
        <v>75</v>
      </c>
      <c r="F873" s="16" t="s">
        <v>86</v>
      </c>
      <c r="G873" s="8" t="s">
        <v>103</v>
      </c>
      <c r="H873" s="8" t="s">
        <v>125</v>
      </c>
      <c r="I873" s="16" t="s">
        <v>296</v>
      </c>
      <c r="J873" s="16">
        <v>17.097180513882002</v>
      </c>
      <c r="K873" s="16">
        <v>-96.714142240385002</v>
      </c>
      <c r="L873" s="16" t="str">
        <f>HYPERLINK("https://maps.google.com/?q=17.097180513882,-96.714142240385", "🔗 Ver Mapa")</f>
        <v>🔗 Ver Mapa</v>
      </c>
    </row>
    <row r="874" spans="1:12" ht="43.5" x14ac:dyDescent="0.35">
      <c r="A874" s="6" t="s">
        <v>291</v>
      </c>
      <c r="B874" s="6" t="s">
        <v>292</v>
      </c>
      <c r="C874" s="6" t="s">
        <v>377</v>
      </c>
      <c r="D874" s="11" t="s">
        <v>294</v>
      </c>
      <c r="E874" s="17" t="s">
        <v>75</v>
      </c>
      <c r="F874" s="17" t="s">
        <v>86</v>
      </c>
      <c r="G874" s="11" t="s">
        <v>103</v>
      </c>
      <c r="H874" s="11" t="s">
        <v>125</v>
      </c>
      <c r="I874" s="17" t="s">
        <v>296</v>
      </c>
      <c r="J874" s="17">
        <v>17.097936449180001</v>
      </c>
      <c r="K874" s="17">
        <v>-96.713718467866997</v>
      </c>
      <c r="L874" s="17" t="str">
        <f>HYPERLINK("https://maps.google.com/?q=17.09793644918,-96.713718467867", "🔗 Ver Mapa")</f>
        <v>🔗 Ver Mapa</v>
      </c>
    </row>
    <row r="875" spans="1:12" ht="43.5" x14ac:dyDescent="0.35">
      <c r="A875" s="5" t="s">
        <v>291</v>
      </c>
      <c r="B875" s="5" t="s">
        <v>292</v>
      </c>
      <c r="C875" s="5" t="s">
        <v>377</v>
      </c>
      <c r="D875" s="8" t="s">
        <v>294</v>
      </c>
      <c r="E875" s="16" t="s">
        <v>75</v>
      </c>
      <c r="F875" s="16" t="s">
        <v>86</v>
      </c>
      <c r="G875" s="8" t="s">
        <v>103</v>
      </c>
      <c r="H875" s="8" t="s">
        <v>125</v>
      </c>
      <c r="I875" s="16" t="s">
        <v>296</v>
      </c>
      <c r="J875" s="16">
        <v>17.109653262195</v>
      </c>
      <c r="K875" s="16">
        <v>-96.757555653782006</v>
      </c>
      <c r="L875" s="16" t="str">
        <f>HYPERLINK("https://maps.google.com/?q=17.109653262195,-96.757555653782", "🔗 Ver Mapa")</f>
        <v>🔗 Ver Mapa</v>
      </c>
    </row>
    <row r="876" spans="1:12" ht="43.5" x14ac:dyDescent="0.35">
      <c r="A876" s="6" t="s">
        <v>291</v>
      </c>
      <c r="B876" s="6" t="s">
        <v>292</v>
      </c>
      <c r="C876" s="6" t="s">
        <v>377</v>
      </c>
      <c r="D876" s="11" t="s">
        <v>294</v>
      </c>
      <c r="E876" s="17" t="s">
        <v>75</v>
      </c>
      <c r="F876" s="17" t="s">
        <v>86</v>
      </c>
      <c r="G876" s="11" t="s">
        <v>103</v>
      </c>
      <c r="H876" s="11" t="s">
        <v>125</v>
      </c>
      <c r="I876" s="17" t="s">
        <v>296</v>
      </c>
      <c r="J876" s="17">
        <v>17.113025640674</v>
      </c>
      <c r="K876" s="17">
        <v>-96.765649484554999</v>
      </c>
      <c r="L876" s="17" t="str">
        <f>HYPERLINK("https://maps.google.com/?q=17.113025640674,-96.765649484555", "🔗 Ver Mapa")</f>
        <v>🔗 Ver Mapa</v>
      </c>
    </row>
    <row r="877" spans="1:12" ht="43.5" x14ac:dyDescent="0.35">
      <c r="A877" s="5" t="s">
        <v>291</v>
      </c>
      <c r="B877" s="5" t="s">
        <v>292</v>
      </c>
      <c r="C877" s="5" t="s">
        <v>377</v>
      </c>
      <c r="D877" s="8" t="s">
        <v>294</v>
      </c>
      <c r="E877" s="16" t="s">
        <v>75</v>
      </c>
      <c r="F877" s="16" t="s">
        <v>86</v>
      </c>
      <c r="G877" s="8" t="s">
        <v>103</v>
      </c>
      <c r="H877" s="8" t="s">
        <v>125</v>
      </c>
      <c r="I877" s="16" t="s">
        <v>296</v>
      </c>
      <c r="J877" s="16">
        <v>17.114653041112</v>
      </c>
      <c r="K877" s="16">
        <v>-96.762154400027995</v>
      </c>
      <c r="L877" s="16" t="str">
        <f>HYPERLINK("https://maps.google.com/?q=17.114653041112,-96.762154400028", "🔗 Ver Mapa")</f>
        <v>🔗 Ver Mapa</v>
      </c>
    </row>
    <row r="878" spans="1:12" ht="43.5" x14ac:dyDescent="0.35">
      <c r="A878" s="6" t="s">
        <v>291</v>
      </c>
      <c r="B878" s="6" t="s">
        <v>292</v>
      </c>
      <c r="C878" s="6" t="s">
        <v>377</v>
      </c>
      <c r="D878" s="11" t="s">
        <v>294</v>
      </c>
      <c r="E878" s="17" t="s">
        <v>75</v>
      </c>
      <c r="F878" s="17" t="s">
        <v>86</v>
      </c>
      <c r="G878" s="11" t="s">
        <v>103</v>
      </c>
      <c r="H878" s="11" t="s">
        <v>125</v>
      </c>
      <c r="I878" s="17" t="s">
        <v>296</v>
      </c>
      <c r="J878" s="17">
        <v>17.114679239573999</v>
      </c>
      <c r="K878" s="17">
        <v>-96.762199767075003</v>
      </c>
      <c r="L878" s="17" t="str">
        <f>HYPERLINK("https://maps.google.com/?q=17.114679239574,-96.762199767075", "🔗 Ver Mapa")</f>
        <v>🔗 Ver Mapa</v>
      </c>
    </row>
    <row r="879" spans="1:12" ht="43.5" x14ac:dyDescent="0.35">
      <c r="A879" s="5" t="s">
        <v>291</v>
      </c>
      <c r="B879" s="5" t="s">
        <v>292</v>
      </c>
      <c r="C879" s="5" t="s">
        <v>377</v>
      </c>
      <c r="D879" s="8" t="s">
        <v>294</v>
      </c>
      <c r="E879" s="16" t="s">
        <v>75</v>
      </c>
      <c r="F879" s="16" t="s">
        <v>86</v>
      </c>
      <c r="G879" s="8" t="s">
        <v>103</v>
      </c>
      <c r="H879" s="8" t="s">
        <v>125</v>
      </c>
      <c r="I879" s="16" t="s">
        <v>296</v>
      </c>
      <c r="J879" s="16">
        <v>17.114818028755</v>
      </c>
      <c r="K879" s="16">
        <v>-96.761777094916994</v>
      </c>
      <c r="L879" s="16" t="str">
        <f>HYPERLINK("https://maps.google.com/?q=17.114818028755,-96.761777094917", "🔗 Ver Mapa")</f>
        <v>🔗 Ver Mapa</v>
      </c>
    </row>
    <row r="880" spans="1:12" ht="43.5" x14ac:dyDescent="0.35">
      <c r="A880" s="6" t="s">
        <v>291</v>
      </c>
      <c r="B880" s="6" t="s">
        <v>292</v>
      </c>
      <c r="C880" s="6" t="s">
        <v>377</v>
      </c>
      <c r="D880" s="11" t="s">
        <v>294</v>
      </c>
      <c r="E880" s="17" t="s">
        <v>75</v>
      </c>
      <c r="F880" s="17" t="s">
        <v>86</v>
      </c>
      <c r="G880" s="11" t="s">
        <v>103</v>
      </c>
      <c r="H880" s="11" t="s">
        <v>125</v>
      </c>
      <c r="I880" s="17" t="s">
        <v>296</v>
      </c>
      <c r="J880" s="17">
        <v>17.115487468308</v>
      </c>
      <c r="K880" s="17">
        <v>-96.768508261725998</v>
      </c>
      <c r="L880" s="17" t="str">
        <f>HYPERLINK("https://maps.google.com/?q=17.115487468308,-96.768508261726", "🔗 Ver Mapa")</f>
        <v>🔗 Ver Mapa</v>
      </c>
    </row>
    <row r="881" spans="1:12" ht="43.5" x14ac:dyDescent="0.35">
      <c r="A881" s="5" t="s">
        <v>291</v>
      </c>
      <c r="B881" s="5" t="s">
        <v>292</v>
      </c>
      <c r="C881" s="5" t="s">
        <v>377</v>
      </c>
      <c r="D881" s="8" t="s">
        <v>294</v>
      </c>
      <c r="E881" s="16" t="s">
        <v>75</v>
      </c>
      <c r="F881" s="16" t="s">
        <v>86</v>
      </c>
      <c r="G881" s="8" t="s">
        <v>103</v>
      </c>
      <c r="H881" s="8" t="s">
        <v>125</v>
      </c>
      <c r="I881" s="16" t="s">
        <v>296</v>
      </c>
      <c r="J881" s="16">
        <v>17.115922729179001</v>
      </c>
      <c r="K881" s="16">
        <v>-96.768902134589993</v>
      </c>
      <c r="L881" s="16" t="str">
        <f>HYPERLINK("https://maps.google.com/?q=17.115922729179,-96.76890213459", "🔗 Ver Mapa")</f>
        <v>🔗 Ver Mapa</v>
      </c>
    </row>
    <row r="882" spans="1:12" ht="43.5" x14ac:dyDescent="0.35">
      <c r="A882" s="6" t="s">
        <v>291</v>
      </c>
      <c r="B882" s="6" t="s">
        <v>292</v>
      </c>
      <c r="C882" s="6" t="s">
        <v>377</v>
      </c>
      <c r="D882" s="11" t="s">
        <v>294</v>
      </c>
      <c r="E882" s="17" t="s">
        <v>75</v>
      </c>
      <c r="F882" s="17" t="s">
        <v>86</v>
      </c>
      <c r="G882" s="11" t="s">
        <v>103</v>
      </c>
      <c r="H882" s="11" t="s">
        <v>125</v>
      </c>
      <c r="I882" s="17" t="s">
        <v>296</v>
      </c>
      <c r="J882" s="17">
        <v>17.116019704235999</v>
      </c>
      <c r="K882" s="17">
        <v>-96.758947466343002</v>
      </c>
      <c r="L882" s="17" t="str">
        <f>HYPERLINK("https://maps.google.com/?q=17.116019704236,-96.758947466343", "🔗 Ver Mapa")</f>
        <v>🔗 Ver Mapa</v>
      </c>
    </row>
    <row r="883" spans="1:12" ht="43.5" x14ac:dyDescent="0.35">
      <c r="A883" s="5" t="s">
        <v>291</v>
      </c>
      <c r="B883" s="5" t="s">
        <v>292</v>
      </c>
      <c r="C883" s="5" t="s">
        <v>377</v>
      </c>
      <c r="D883" s="8" t="s">
        <v>294</v>
      </c>
      <c r="E883" s="16" t="s">
        <v>75</v>
      </c>
      <c r="F883" s="16" t="s">
        <v>86</v>
      </c>
      <c r="G883" s="8" t="s">
        <v>103</v>
      </c>
      <c r="H883" s="8" t="s">
        <v>125</v>
      </c>
      <c r="I883" s="16" t="s">
        <v>296</v>
      </c>
      <c r="J883" s="16">
        <v>17.116124255787</v>
      </c>
      <c r="K883" s="16">
        <v>-96.769033240515</v>
      </c>
      <c r="L883" s="16" t="str">
        <f>HYPERLINK("https://maps.google.com/?q=17.116124255787,-96.769033240515", "🔗 Ver Mapa")</f>
        <v>🔗 Ver Mapa</v>
      </c>
    </row>
    <row r="884" spans="1:12" ht="43.5" x14ac:dyDescent="0.35">
      <c r="A884" s="6" t="s">
        <v>291</v>
      </c>
      <c r="B884" s="6" t="s">
        <v>292</v>
      </c>
      <c r="C884" s="6" t="s">
        <v>377</v>
      </c>
      <c r="D884" s="11" t="s">
        <v>294</v>
      </c>
      <c r="E884" s="17" t="s">
        <v>75</v>
      </c>
      <c r="F884" s="17" t="s">
        <v>86</v>
      </c>
      <c r="G884" s="11" t="s">
        <v>103</v>
      </c>
      <c r="H884" s="11" t="s">
        <v>125</v>
      </c>
      <c r="I884" s="17" t="s">
        <v>296</v>
      </c>
      <c r="J884" s="17">
        <v>17.116200985780001</v>
      </c>
      <c r="K884" s="17">
        <v>-96.758764988051993</v>
      </c>
      <c r="L884" s="17" t="str">
        <f>HYPERLINK("https://maps.google.com/?q=17.11620098578,-96.758764988052", "🔗 Ver Mapa")</f>
        <v>🔗 Ver Mapa</v>
      </c>
    </row>
    <row r="885" spans="1:12" ht="43.5" x14ac:dyDescent="0.35">
      <c r="A885" s="5" t="s">
        <v>291</v>
      </c>
      <c r="B885" s="5" t="s">
        <v>292</v>
      </c>
      <c r="C885" s="5" t="s">
        <v>377</v>
      </c>
      <c r="D885" s="8" t="s">
        <v>294</v>
      </c>
      <c r="E885" s="16" t="s">
        <v>75</v>
      </c>
      <c r="F885" s="16" t="s">
        <v>86</v>
      </c>
      <c r="G885" s="8" t="s">
        <v>103</v>
      </c>
      <c r="H885" s="8" t="s">
        <v>125</v>
      </c>
      <c r="I885" s="16" t="s">
        <v>296</v>
      </c>
      <c r="J885" s="16">
        <v>17.116631176009001</v>
      </c>
      <c r="K885" s="16">
        <v>-96.769211070455</v>
      </c>
      <c r="L885" s="16" t="str">
        <f>HYPERLINK("https://maps.google.com/?q=17.116631176009,-96.769211070455", "🔗 Ver Mapa")</f>
        <v>🔗 Ver Mapa</v>
      </c>
    </row>
    <row r="886" spans="1:12" ht="43.5" x14ac:dyDescent="0.35">
      <c r="A886" s="6" t="s">
        <v>291</v>
      </c>
      <c r="B886" s="6" t="s">
        <v>292</v>
      </c>
      <c r="C886" s="6" t="s">
        <v>377</v>
      </c>
      <c r="D886" s="11" t="s">
        <v>294</v>
      </c>
      <c r="E886" s="17" t="s">
        <v>75</v>
      </c>
      <c r="F886" s="17" t="s">
        <v>86</v>
      </c>
      <c r="G886" s="11" t="s">
        <v>103</v>
      </c>
      <c r="H886" s="11" t="s">
        <v>125</v>
      </c>
      <c r="I886" s="17" t="s">
        <v>296</v>
      </c>
      <c r="J886" s="17">
        <v>17.117139898333999</v>
      </c>
      <c r="K886" s="17">
        <v>-96.759057467220998</v>
      </c>
      <c r="L886" s="17" t="str">
        <f>HYPERLINK("https://maps.google.com/?q=17.117139898334,-96.759057467221", "🔗 Ver Mapa")</f>
        <v>🔗 Ver Mapa</v>
      </c>
    </row>
    <row r="887" spans="1:12" ht="43.5" x14ac:dyDescent="0.35">
      <c r="A887" s="5" t="s">
        <v>291</v>
      </c>
      <c r="B887" s="5" t="s">
        <v>292</v>
      </c>
      <c r="C887" s="5" t="s">
        <v>377</v>
      </c>
      <c r="D887" s="8" t="s">
        <v>294</v>
      </c>
      <c r="E887" s="16" t="s">
        <v>75</v>
      </c>
      <c r="F887" s="16" t="s">
        <v>86</v>
      </c>
      <c r="G887" s="8" t="s">
        <v>103</v>
      </c>
      <c r="H887" s="8" t="s">
        <v>125</v>
      </c>
      <c r="I887" s="16" t="s">
        <v>296</v>
      </c>
      <c r="J887" s="16">
        <v>17.117594676191001</v>
      </c>
      <c r="K887" s="16">
        <v>-96.769418068335</v>
      </c>
      <c r="L887" s="16" t="str">
        <f>HYPERLINK("https://maps.google.com/?q=17.117594676191,-96.769418068335", "🔗 Ver Mapa")</f>
        <v>🔗 Ver Mapa</v>
      </c>
    </row>
    <row r="888" spans="1:12" ht="43.5" x14ac:dyDescent="0.35">
      <c r="A888" s="6" t="s">
        <v>291</v>
      </c>
      <c r="B888" s="6" t="s">
        <v>292</v>
      </c>
      <c r="C888" s="6" t="s">
        <v>377</v>
      </c>
      <c r="D888" s="11" t="s">
        <v>294</v>
      </c>
      <c r="E888" s="17" t="s">
        <v>75</v>
      </c>
      <c r="F888" s="17" t="s">
        <v>86</v>
      </c>
      <c r="G888" s="11" t="s">
        <v>103</v>
      </c>
      <c r="H888" s="11" t="s">
        <v>125</v>
      </c>
      <c r="I888" s="17" t="s">
        <v>296</v>
      </c>
      <c r="J888" s="17">
        <v>17.117902358856998</v>
      </c>
      <c r="K888" s="17">
        <v>-96.769395560679001</v>
      </c>
      <c r="L888" s="17" t="str">
        <f>HYPERLINK("https://maps.google.com/?q=17.117902358857,-96.769395560679", "🔗 Ver Mapa")</f>
        <v>🔗 Ver Mapa</v>
      </c>
    </row>
    <row r="889" spans="1:12" ht="43.5" x14ac:dyDescent="0.35">
      <c r="A889" s="5" t="s">
        <v>291</v>
      </c>
      <c r="B889" s="5" t="s">
        <v>292</v>
      </c>
      <c r="C889" s="5" t="s">
        <v>377</v>
      </c>
      <c r="D889" s="8" t="s">
        <v>294</v>
      </c>
      <c r="E889" s="16" t="s">
        <v>75</v>
      </c>
      <c r="F889" s="16" t="s">
        <v>86</v>
      </c>
      <c r="G889" s="8" t="s">
        <v>103</v>
      </c>
      <c r="H889" s="8" t="s">
        <v>125</v>
      </c>
      <c r="I889" s="16" t="s">
        <v>296</v>
      </c>
      <c r="J889" s="16">
        <v>17.118166427845001</v>
      </c>
      <c r="K889" s="16">
        <v>-96.769305050219998</v>
      </c>
      <c r="L889" s="16" t="str">
        <f>HYPERLINK("https://maps.google.com/?q=17.118166427845,-96.76930505022", "🔗 Ver Mapa")</f>
        <v>🔗 Ver Mapa</v>
      </c>
    </row>
    <row r="890" spans="1:12" ht="43.5" x14ac:dyDescent="0.35">
      <c r="A890" s="6" t="s">
        <v>291</v>
      </c>
      <c r="B890" s="6" t="s">
        <v>292</v>
      </c>
      <c r="C890" s="6" t="s">
        <v>377</v>
      </c>
      <c r="D890" s="11" t="s">
        <v>294</v>
      </c>
      <c r="E890" s="17" t="s">
        <v>75</v>
      </c>
      <c r="F890" s="17" t="s">
        <v>86</v>
      </c>
      <c r="G890" s="11" t="s">
        <v>103</v>
      </c>
      <c r="H890" s="11" t="s">
        <v>125</v>
      </c>
      <c r="I890" s="17" t="s">
        <v>296</v>
      </c>
      <c r="J890" s="17">
        <v>17.120100896815</v>
      </c>
      <c r="K890" s="17">
        <v>-96.759131996882999</v>
      </c>
      <c r="L890" s="17" t="str">
        <f>HYPERLINK("https://maps.google.com/?q=17.120100896815,-96.759131996883", "🔗 Ver Mapa")</f>
        <v>🔗 Ver Mapa</v>
      </c>
    </row>
    <row r="891" spans="1:12" ht="43.5" x14ac:dyDescent="0.35">
      <c r="A891" s="5" t="s">
        <v>291</v>
      </c>
      <c r="B891" s="5" t="s">
        <v>292</v>
      </c>
      <c r="C891" s="5" t="s">
        <v>377</v>
      </c>
      <c r="D891" s="8" t="s">
        <v>294</v>
      </c>
      <c r="E891" s="16" t="s">
        <v>75</v>
      </c>
      <c r="F891" s="16" t="s">
        <v>86</v>
      </c>
      <c r="G891" s="8" t="s">
        <v>103</v>
      </c>
      <c r="H891" s="8" t="s">
        <v>125</v>
      </c>
      <c r="I891" s="16" t="s">
        <v>296</v>
      </c>
      <c r="J891" s="16">
        <v>17.12012664017</v>
      </c>
      <c r="K891" s="16">
        <v>-96.759083917862995</v>
      </c>
      <c r="L891" s="16" t="str">
        <f>HYPERLINK("https://maps.google.com/?q=17.12012664017,-96.759083917863", "🔗 Ver Mapa")</f>
        <v>🔗 Ver Mapa</v>
      </c>
    </row>
    <row r="892" spans="1:12" ht="43.5" x14ac:dyDescent="0.35">
      <c r="A892" s="6" t="s">
        <v>291</v>
      </c>
      <c r="B892" s="6" t="s">
        <v>292</v>
      </c>
      <c r="C892" s="6" t="s">
        <v>377</v>
      </c>
      <c r="D892" s="11" t="s">
        <v>294</v>
      </c>
      <c r="E892" s="17" t="s">
        <v>75</v>
      </c>
      <c r="F892" s="17" t="s">
        <v>86</v>
      </c>
      <c r="G892" s="11" t="s">
        <v>103</v>
      </c>
      <c r="H892" s="11" t="s">
        <v>125</v>
      </c>
      <c r="I892" s="17" t="s">
        <v>296</v>
      </c>
      <c r="J892" s="17">
        <v>17.120147277573</v>
      </c>
      <c r="K892" s="17">
        <v>-96.767236058688994</v>
      </c>
      <c r="L892" s="17" t="str">
        <f>HYPERLINK("https://maps.google.com/?q=17.120147277573,-96.767236058689", "🔗 Ver Mapa")</f>
        <v>🔗 Ver Mapa</v>
      </c>
    </row>
    <row r="893" spans="1:12" ht="43.5" x14ac:dyDescent="0.35">
      <c r="A893" s="5" t="s">
        <v>291</v>
      </c>
      <c r="B893" s="5" t="s">
        <v>292</v>
      </c>
      <c r="C893" s="5" t="s">
        <v>377</v>
      </c>
      <c r="D893" s="8" t="s">
        <v>294</v>
      </c>
      <c r="E893" s="16" t="s">
        <v>75</v>
      </c>
      <c r="F893" s="16" t="s">
        <v>86</v>
      </c>
      <c r="G893" s="8" t="s">
        <v>103</v>
      </c>
      <c r="H893" s="8" t="s">
        <v>125</v>
      </c>
      <c r="I893" s="16" t="s">
        <v>296</v>
      </c>
      <c r="J893" s="16">
        <v>17.120224051665001</v>
      </c>
      <c r="K893" s="16">
        <v>-96.758075908216995</v>
      </c>
      <c r="L893" s="16" t="str">
        <f>HYPERLINK("https://maps.google.com/?q=17.120224051665,-96.758075908217", "🔗 Ver Mapa")</f>
        <v>🔗 Ver Mapa</v>
      </c>
    </row>
    <row r="894" spans="1:12" ht="43.5" x14ac:dyDescent="0.35">
      <c r="A894" s="6" t="s">
        <v>291</v>
      </c>
      <c r="B894" s="6" t="s">
        <v>292</v>
      </c>
      <c r="C894" s="6" t="s">
        <v>377</v>
      </c>
      <c r="D894" s="11" t="s">
        <v>294</v>
      </c>
      <c r="E894" s="17" t="s">
        <v>75</v>
      </c>
      <c r="F894" s="17" t="s">
        <v>86</v>
      </c>
      <c r="G894" s="11" t="s">
        <v>103</v>
      </c>
      <c r="H894" s="11" t="s">
        <v>125</v>
      </c>
      <c r="I894" s="17" t="s">
        <v>296</v>
      </c>
      <c r="J894" s="17">
        <v>17.120317395592998</v>
      </c>
      <c r="K894" s="17">
        <v>-96.756968178235994</v>
      </c>
      <c r="L894" s="17" t="str">
        <f>HYPERLINK("https://maps.google.com/?q=17.120317395593,-96.756968178236", "🔗 Ver Mapa")</f>
        <v>🔗 Ver Mapa</v>
      </c>
    </row>
    <row r="895" spans="1:12" ht="43.5" x14ac:dyDescent="0.35">
      <c r="A895" s="5" t="s">
        <v>291</v>
      </c>
      <c r="B895" s="5" t="s">
        <v>292</v>
      </c>
      <c r="C895" s="5" t="s">
        <v>377</v>
      </c>
      <c r="D895" s="8" t="s">
        <v>294</v>
      </c>
      <c r="E895" s="16" t="s">
        <v>75</v>
      </c>
      <c r="F895" s="16" t="s">
        <v>86</v>
      </c>
      <c r="G895" s="8" t="s">
        <v>103</v>
      </c>
      <c r="H895" s="8" t="s">
        <v>125</v>
      </c>
      <c r="I895" s="16" t="s">
        <v>296</v>
      </c>
      <c r="J895" s="16">
        <v>17.120488787119999</v>
      </c>
      <c r="K895" s="16">
        <v>-96.756273222155002</v>
      </c>
      <c r="L895" s="16" t="str">
        <f>HYPERLINK("https://maps.google.com/?q=17.12048878712,-96.756273222155", "🔗 Ver Mapa")</f>
        <v>🔗 Ver Mapa</v>
      </c>
    </row>
    <row r="896" spans="1:12" ht="43.5" x14ac:dyDescent="0.35">
      <c r="A896" s="6" t="s">
        <v>291</v>
      </c>
      <c r="B896" s="6" t="s">
        <v>292</v>
      </c>
      <c r="C896" s="6" t="s">
        <v>377</v>
      </c>
      <c r="D896" s="11" t="s">
        <v>294</v>
      </c>
      <c r="E896" s="17" t="s">
        <v>75</v>
      </c>
      <c r="F896" s="17" t="s">
        <v>86</v>
      </c>
      <c r="G896" s="11" t="s">
        <v>103</v>
      </c>
      <c r="H896" s="11" t="s">
        <v>125</v>
      </c>
      <c r="I896" s="17" t="s">
        <v>296</v>
      </c>
      <c r="J896" s="17">
        <v>17.120884522263001</v>
      </c>
      <c r="K896" s="17">
        <v>-96.755134408044995</v>
      </c>
      <c r="L896" s="17" t="str">
        <f>HYPERLINK("https://maps.google.com/?q=17.120884522263,-96.755134408045", "🔗 Ver Mapa")</f>
        <v>🔗 Ver Mapa</v>
      </c>
    </row>
    <row r="897" spans="1:12" ht="43.5" x14ac:dyDescent="0.35">
      <c r="A897" s="5" t="s">
        <v>291</v>
      </c>
      <c r="B897" s="5" t="s">
        <v>292</v>
      </c>
      <c r="C897" s="5" t="s">
        <v>377</v>
      </c>
      <c r="D897" s="8" t="s">
        <v>294</v>
      </c>
      <c r="E897" s="16" t="s">
        <v>75</v>
      </c>
      <c r="F897" s="16" t="s">
        <v>86</v>
      </c>
      <c r="G897" s="8" t="s">
        <v>103</v>
      </c>
      <c r="H897" s="8" t="s">
        <v>125</v>
      </c>
      <c r="I897" s="16" t="s">
        <v>296</v>
      </c>
      <c r="J897" s="16">
        <v>17.121425549426998</v>
      </c>
      <c r="K897" s="16">
        <v>-96.765498899893998</v>
      </c>
      <c r="L897" s="16" t="str">
        <f>HYPERLINK("https://maps.google.com/?q=17.121425549427,-96.765498899894", "🔗 Ver Mapa")</f>
        <v>🔗 Ver Mapa</v>
      </c>
    </row>
    <row r="898" spans="1:12" ht="43.5" x14ac:dyDescent="0.35">
      <c r="A898" s="6" t="s">
        <v>291</v>
      </c>
      <c r="B898" s="6" t="s">
        <v>292</v>
      </c>
      <c r="C898" s="6" t="s">
        <v>377</v>
      </c>
      <c r="D898" s="11" t="s">
        <v>294</v>
      </c>
      <c r="E898" s="17" t="s">
        <v>75</v>
      </c>
      <c r="F898" s="17" t="s">
        <v>86</v>
      </c>
      <c r="G898" s="11" t="s">
        <v>103</v>
      </c>
      <c r="H898" s="11" t="s">
        <v>125</v>
      </c>
      <c r="I898" s="17" t="s">
        <v>296</v>
      </c>
      <c r="J898" s="17">
        <v>17.121507399999999</v>
      </c>
      <c r="K898" s="17">
        <v>-96.765365399999993</v>
      </c>
      <c r="L898" s="17" t="str">
        <f>HYPERLINK("https://maps.google.com/?q=17.1215074,-96.7653654", "🔗 Ver Mapa")</f>
        <v>🔗 Ver Mapa</v>
      </c>
    </row>
    <row r="899" spans="1:12" ht="43.5" x14ac:dyDescent="0.35">
      <c r="A899" s="5" t="s">
        <v>291</v>
      </c>
      <c r="B899" s="5" t="s">
        <v>292</v>
      </c>
      <c r="C899" s="5" t="s">
        <v>377</v>
      </c>
      <c r="D899" s="8" t="s">
        <v>294</v>
      </c>
      <c r="E899" s="16" t="s">
        <v>75</v>
      </c>
      <c r="F899" s="16" t="s">
        <v>86</v>
      </c>
      <c r="G899" s="8" t="s">
        <v>103</v>
      </c>
      <c r="H899" s="8" t="s">
        <v>125</v>
      </c>
      <c r="I899" s="16" t="s">
        <v>296</v>
      </c>
      <c r="J899" s="16">
        <v>17.122213299999999</v>
      </c>
      <c r="K899" s="16">
        <v>-96.764363099999997</v>
      </c>
      <c r="L899" s="16" t="str">
        <f>HYPERLINK("https://maps.google.com/?q=17.1222133,-96.7643631", "🔗 Ver Mapa")</f>
        <v>🔗 Ver Mapa</v>
      </c>
    </row>
    <row r="900" spans="1:12" ht="43.5" x14ac:dyDescent="0.35">
      <c r="A900" s="6" t="s">
        <v>291</v>
      </c>
      <c r="B900" s="6" t="s">
        <v>292</v>
      </c>
      <c r="C900" s="6" t="s">
        <v>377</v>
      </c>
      <c r="D900" s="11" t="s">
        <v>294</v>
      </c>
      <c r="E900" s="17" t="s">
        <v>75</v>
      </c>
      <c r="F900" s="17" t="s">
        <v>86</v>
      </c>
      <c r="G900" s="11" t="s">
        <v>103</v>
      </c>
      <c r="H900" s="11" t="s">
        <v>125</v>
      </c>
      <c r="I900" s="17" t="s">
        <v>296</v>
      </c>
      <c r="J900" s="17">
        <v>17.122378105894999</v>
      </c>
      <c r="K900" s="17">
        <v>-96.764481540084006</v>
      </c>
      <c r="L900" s="17" t="str">
        <f>HYPERLINK("https://maps.google.com/?q=17.122378105895,-96.764481540084", "🔗 Ver Mapa")</f>
        <v>🔗 Ver Mapa</v>
      </c>
    </row>
    <row r="901" spans="1:12" ht="43.5" x14ac:dyDescent="0.35">
      <c r="A901" s="5" t="s">
        <v>291</v>
      </c>
      <c r="B901" s="5" t="s">
        <v>292</v>
      </c>
      <c r="C901" s="5" t="s">
        <v>377</v>
      </c>
      <c r="D901" s="8" t="s">
        <v>294</v>
      </c>
      <c r="E901" s="16" t="s">
        <v>75</v>
      </c>
      <c r="F901" s="16" t="s">
        <v>86</v>
      </c>
      <c r="G901" s="8" t="s">
        <v>103</v>
      </c>
      <c r="H901" s="8" t="s">
        <v>125</v>
      </c>
      <c r="I901" s="16" t="s">
        <v>296</v>
      </c>
      <c r="J901" s="16">
        <v>17.122641030225999</v>
      </c>
      <c r="K901" s="16">
        <v>-96.764097928360002</v>
      </c>
      <c r="L901" s="16" t="str">
        <f>HYPERLINK("https://maps.google.com/?q=17.122641030226,-96.76409792836", "🔗 Ver Mapa")</f>
        <v>🔗 Ver Mapa</v>
      </c>
    </row>
    <row r="902" spans="1:12" ht="43.5" x14ac:dyDescent="0.35">
      <c r="A902" s="6" t="s">
        <v>291</v>
      </c>
      <c r="B902" s="6" t="s">
        <v>292</v>
      </c>
      <c r="C902" s="6" t="s">
        <v>377</v>
      </c>
      <c r="D902" s="11" t="s">
        <v>294</v>
      </c>
      <c r="E902" s="17" t="s">
        <v>75</v>
      </c>
      <c r="F902" s="17" t="s">
        <v>86</v>
      </c>
      <c r="G902" s="11" t="s">
        <v>103</v>
      </c>
      <c r="H902" s="11" t="s">
        <v>125</v>
      </c>
      <c r="I902" s="17" t="s">
        <v>296</v>
      </c>
      <c r="J902" s="17">
        <v>17.122700697123001</v>
      </c>
      <c r="K902" s="17">
        <v>-96.759227937212998</v>
      </c>
      <c r="L902" s="17" t="str">
        <f>HYPERLINK("https://maps.google.com/?q=17.122700697123,-96.759227937213", "🔗 Ver Mapa")</f>
        <v>🔗 Ver Mapa</v>
      </c>
    </row>
    <row r="903" spans="1:12" ht="43.5" x14ac:dyDescent="0.35">
      <c r="A903" s="5" t="s">
        <v>291</v>
      </c>
      <c r="B903" s="5" t="s">
        <v>292</v>
      </c>
      <c r="C903" s="5" t="s">
        <v>377</v>
      </c>
      <c r="D903" s="8" t="s">
        <v>294</v>
      </c>
      <c r="E903" s="16" t="s">
        <v>75</v>
      </c>
      <c r="F903" s="16" t="s">
        <v>86</v>
      </c>
      <c r="G903" s="8" t="s">
        <v>103</v>
      </c>
      <c r="H903" s="8" t="s">
        <v>125</v>
      </c>
      <c r="I903" s="16" t="s">
        <v>296</v>
      </c>
      <c r="J903" s="16">
        <v>17.123207679903999</v>
      </c>
      <c r="K903" s="16">
        <v>-96.759376888812</v>
      </c>
      <c r="L903" s="16" t="str">
        <f>HYPERLINK("https://maps.google.com/?q=17.123207679904,-96.759376888812", "🔗 Ver Mapa")</f>
        <v>🔗 Ver Mapa</v>
      </c>
    </row>
    <row r="904" spans="1:12" ht="43.5" x14ac:dyDescent="0.35">
      <c r="A904" s="6" t="s">
        <v>291</v>
      </c>
      <c r="B904" s="6" t="s">
        <v>292</v>
      </c>
      <c r="C904" s="6" t="s">
        <v>377</v>
      </c>
      <c r="D904" s="11" t="s">
        <v>294</v>
      </c>
      <c r="E904" s="17" t="s">
        <v>75</v>
      </c>
      <c r="F904" s="17" t="s">
        <v>86</v>
      </c>
      <c r="G904" s="11" t="s">
        <v>103</v>
      </c>
      <c r="H904" s="11" t="s">
        <v>125</v>
      </c>
      <c r="I904" s="17" t="s">
        <v>296</v>
      </c>
      <c r="J904" s="17">
        <v>17.123530139740001</v>
      </c>
      <c r="K904" s="17">
        <v>-96.759534334896003</v>
      </c>
      <c r="L904" s="17" t="str">
        <f>HYPERLINK("https://maps.google.com/?q=17.12353013974,-96.759534334896", "🔗 Ver Mapa")</f>
        <v>🔗 Ver Mapa</v>
      </c>
    </row>
    <row r="905" spans="1:12" ht="43.5" x14ac:dyDescent="0.35">
      <c r="A905" s="5" t="s">
        <v>291</v>
      </c>
      <c r="B905" s="5" t="s">
        <v>292</v>
      </c>
      <c r="C905" s="5" t="s">
        <v>377</v>
      </c>
      <c r="D905" s="8" t="s">
        <v>294</v>
      </c>
      <c r="E905" s="16" t="s">
        <v>75</v>
      </c>
      <c r="F905" s="16" t="s">
        <v>86</v>
      </c>
      <c r="G905" s="8" t="s">
        <v>103</v>
      </c>
      <c r="H905" s="8" t="s">
        <v>125</v>
      </c>
      <c r="I905" s="16" t="s">
        <v>296</v>
      </c>
      <c r="J905" s="16">
        <v>17.124242103055</v>
      </c>
      <c r="K905" s="16">
        <v>-96.771076198928</v>
      </c>
      <c r="L905" s="16" t="str">
        <f>HYPERLINK("https://maps.google.com/?q=17.124242103055,-96.771076198928", "🔗 Ver Mapa")</f>
        <v>🔗 Ver Mapa</v>
      </c>
    </row>
    <row r="906" spans="1:12" ht="43.5" x14ac:dyDescent="0.35">
      <c r="A906" s="6" t="s">
        <v>291</v>
      </c>
      <c r="B906" s="6" t="s">
        <v>292</v>
      </c>
      <c r="C906" s="6" t="s">
        <v>377</v>
      </c>
      <c r="D906" s="11" t="s">
        <v>294</v>
      </c>
      <c r="E906" s="17" t="s">
        <v>75</v>
      </c>
      <c r="F906" s="17" t="s">
        <v>86</v>
      </c>
      <c r="G906" s="11" t="s">
        <v>103</v>
      </c>
      <c r="H906" s="11" t="s">
        <v>125</v>
      </c>
      <c r="I906" s="17" t="s">
        <v>296</v>
      </c>
      <c r="J906" s="17">
        <v>17.125845271313</v>
      </c>
      <c r="K906" s="17">
        <v>-96.760285158843999</v>
      </c>
      <c r="L906" s="17" t="str">
        <f>HYPERLINK("https://maps.google.com/?q=17.125845271313,-96.760285158844", "🔗 Ver Mapa")</f>
        <v>🔗 Ver Mapa</v>
      </c>
    </row>
    <row r="907" spans="1:12" ht="43.5" x14ac:dyDescent="0.35">
      <c r="A907" s="5" t="s">
        <v>291</v>
      </c>
      <c r="B907" s="5" t="s">
        <v>292</v>
      </c>
      <c r="C907" s="5" t="s">
        <v>377</v>
      </c>
      <c r="D907" s="8" t="s">
        <v>294</v>
      </c>
      <c r="E907" s="16" t="s">
        <v>75</v>
      </c>
      <c r="F907" s="16" t="s">
        <v>86</v>
      </c>
      <c r="G907" s="8" t="s">
        <v>103</v>
      </c>
      <c r="H907" s="8" t="s">
        <v>125</v>
      </c>
      <c r="I907" s="16" t="s">
        <v>296</v>
      </c>
      <c r="J907" s="16">
        <v>17.125853670131001</v>
      </c>
      <c r="K907" s="16">
        <v>-96.760272877228999</v>
      </c>
      <c r="L907" s="16" t="str">
        <f>HYPERLINK("https://maps.google.com/?q=17.125853670131,-96.760272877229", "🔗 Ver Mapa")</f>
        <v>🔗 Ver Mapa</v>
      </c>
    </row>
    <row r="908" spans="1:12" ht="43.5" x14ac:dyDescent="0.35">
      <c r="A908" s="6" t="s">
        <v>291</v>
      </c>
      <c r="B908" s="6" t="s">
        <v>292</v>
      </c>
      <c r="C908" s="6" t="s">
        <v>377</v>
      </c>
      <c r="D908" s="11" t="s">
        <v>294</v>
      </c>
      <c r="E908" s="17" t="s">
        <v>75</v>
      </c>
      <c r="F908" s="17" t="s">
        <v>86</v>
      </c>
      <c r="G908" s="11" t="s">
        <v>103</v>
      </c>
      <c r="H908" s="11" t="s">
        <v>125</v>
      </c>
      <c r="I908" s="17" t="s">
        <v>296</v>
      </c>
      <c r="J908" s="17">
        <v>17.127651311205</v>
      </c>
      <c r="K908" s="17">
        <v>-96.758106333699004</v>
      </c>
      <c r="L908" s="17" t="str">
        <f>HYPERLINK("https://maps.google.com/?q=17.127651311205,-96.758106333699", "🔗 Ver Mapa")</f>
        <v>🔗 Ver Mapa</v>
      </c>
    </row>
    <row r="909" spans="1:12" ht="43.5" x14ac:dyDescent="0.35">
      <c r="A909" s="5" t="s">
        <v>291</v>
      </c>
      <c r="B909" s="5" t="s">
        <v>292</v>
      </c>
      <c r="C909" s="5" t="s">
        <v>378</v>
      </c>
      <c r="D909" s="8" t="s">
        <v>294</v>
      </c>
      <c r="E909" s="16" t="s">
        <v>75</v>
      </c>
      <c r="F909" s="16" t="s">
        <v>86</v>
      </c>
      <c r="G909" s="8" t="s">
        <v>379</v>
      </c>
      <c r="H909" s="8" t="s">
        <v>380</v>
      </c>
      <c r="I909" s="16" t="s">
        <v>296</v>
      </c>
      <c r="J909" s="16">
        <v>17.107642550000001</v>
      </c>
      <c r="K909" s="16">
        <v>-96.762049189999999</v>
      </c>
      <c r="L909" s="16" t="str">
        <f>HYPERLINK("https://maps.google.com/?q=17.10764255,-96.76204919", "🔗 Ver Mapa")</f>
        <v>🔗 Ver Mapa</v>
      </c>
    </row>
    <row r="910" spans="1:12" ht="43.5" x14ac:dyDescent="0.35">
      <c r="A910" s="6" t="s">
        <v>291</v>
      </c>
      <c r="B910" s="6" t="s">
        <v>292</v>
      </c>
      <c r="C910" s="6" t="s">
        <v>378</v>
      </c>
      <c r="D910" s="11" t="s">
        <v>294</v>
      </c>
      <c r="E910" s="17" t="s">
        <v>75</v>
      </c>
      <c r="F910" s="17" t="s">
        <v>86</v>
      </c>
      <c r="G910" s="11" t="s">
        <v>379</v>
      </c>
      <c r="H910" s="11" t="s">
        <v>380</v>
      </c>
      <c r="I910" s="17" t="s">
        <v>296</v>
      </c>
      <c r="J910" s="17">
        <v>17.109789240000001</v>
      </c>
      <c r="K910" s="17">
        <v>-96.75709363</v>
      </c>
      <c r="L910" s="17" t="str">
        <f>HYPERLINK("https://maps.google.com/?q=17.10978924,-96.75709363", "🔗 Ver Mapa")</f>
        <v>🔗 Ver Mapa</v>
      </c>
    </row>
    <row r="911" spans="1:12" ht="29" x14ac:dyDescent="0.35">
      <c r="A911" s="5" t="s">
        <v>12</v>
      </c>
      <c r="B911" s="5" t="s">
        <v>381</v>
      </c>
      <c r="C911" s="5" t="s">
        <v>382</v>
      </c>
      <c r="D911" s="8" t="s">
        <v>62</v>
      </c>
      <c r="E911" s="16" t="s">
        <v>75</v>
      </c>
      <c r="F911" s="16" t="s">
        <v>86</v>
      </c>
      <c r="G911" s="8" t="s">
        <v>103</v>
      </c>
      <c r="H911" s="8" t="s">
        <v>125</v>
      </c>
      <c r="I911" s="16" t="s">
        <v>138</v>
      </c>
      <c r="J911" s="16">
        <v>17.060085837437999</v>
      </c>
      <c r="K911" s="16">
        <v>-96.725723429957995</v>
      </c>
      <c r="L911" s="16" t="str">
        <f>HYPERLINK("https://maps.google.com/?q=17.060085837438,-96.725723429958", "🔗 Ver Mapa")</f>
        <v>🔗 Ver Mapa</v>
      </c>
    </row>
    <row r="912" spans="1:12" ht="72.5" x14ac:dyDescent="0.35">
      <c r="A912" s="6" t="s">
        <v>225</v>
      </c>
      <c r="B912" s="6" t="s">
        <v>226</v>
      </c>
      <c r="C912" s="6" t="s">
        <v>383</v>
      </c>
      <c r="D912" s="11" t="s">
        <v>69</v>
      </c>
      <c r="E912" s="17" t="s">
        <v>79</v>
      </c>
      <c r="F912" s="17" t="s">
        <v>195</v>
      </c>
      <c r="G912" s="11" t="s">
        <v>384</v>
      </c>
      <c r="H912" s="11" t="s">
        <v>385</v>
      </c>
      <c r="I912" s="17" t="s">
        <v>138</v>
      </c>
      <c r="J912" s="17">
        <v>16.453185999999999</v>
      </c>
      <c r="K912" s="17">
        <v>-96.694215</v>
      </c>
      <c r="L912" s="17" t="str">
        <f>HYPERLINK("https://maps.google.com/?q=16.453186,-96.694215", "🔗 Ver Mapa")</f>
        <v>🔗 Ver Mapa</v>
      </c>
    </row>
    <row r="913" spans="1:12" ht="72.5" x14ac:dyDescent="0.35">
      <c r="A913" s="5" t="s">
        <v>225</v>
      </c>
      <c r="B913" s="5" t="s">
        <v>226</v>
      </c>
      <c r="C913" s="5" t="s">
        <v>383</v>
      </c>
      <c r="D913" s="8" t="s">
        <v>69</v>
      </c>
      <c r="E913" s="16" t="s">
        <v>79</v>
      </c>
      <c r="F913" s="16" t="s">
        <v>195</v>
      </c>
      <c r="G913" s="8" t="s">
        <v>384</v>
      </c>
      <c r="H913" s="8" t="s">
        <v>385</v>
      </c>
      <c r="I913" s="16" t="s">
        <v>138</v>
      </c>
      <c r="J913" s="16">
        <v>16.454276</v>
      </c>
      <c r="K913" s="16">
        <v>-96.690342000000001</v>
      </c>
      <c r="L913" s="16" t="str">
        <f>HYPERLINK("https://maps.google.com/?q=16.454276,-96.690342", "🔗 Ver Mapa")</f>
        <v>🔗 Ver Mapa</v>
      </c>
    </row>
    <row r="914" spans="1:12" ht="72.5" x14ac:dyDescent="0.35">
      <c r="A914" s="6" t="s">
        <v>225</v>
      </c>
      <c r="B914" s="6" t="s">
        <v>226</v>
      </c>
      <c r="C914" s="6" t="s">
        <v>383</v>
      </c>
      <c r="D914" s="11" t="s">
        <v>69</v>
      </c>
      <c r="E914" s="17" t="s">
        <v>79</v>
      </c>
      <c r="F914" s="17" t="s">
        <v>195</v>
      </c>
      <c r="G914" s="11" t="s">
        <v>384</v>
      </c>
      <c r="H914" s="11" t="s">
        <v>385</v>
      </c>
      <c r="I914" s="17" t="s">
        <v>138</v>
      </c>
      <c r="J914" s="17">
        <v>16.457882000000001</v>
      </c>
      <c r="K914" s="17">
        <v>-96.689150999999995</v>
      </c>
      <c r="L914" s="17" t="str">
        <f>HYPERLINK("https://maps.google.com/?q=16.457882,-96.689151", "🔗 Ver Mapa")</f>
        <v>🔗 Ver Mapa</v>
      </c>
    </row>
    <row r="915" spans="1:12" ht="87" x14ac:dyDescent="0.35">
      <c r="A915" s="5" t="s">
        <v>225</v>
      </c>
      <c r="B915" s="5" t="s">
        <v>226</v>
      </c>
      <c r="C915" s="5" t="s">
        <v>386</v>
      </c>
      <c r="D915" s="8" t="s">
        <v>69</v>
      </c>
      <c r="E915" s="16" t="s">
        <v>287</v>
      </c>
      <c r="F915" s="16" t="s">
        <v>288</v>
      </c>
      <c r="G915" s="8" t="s">
        <v>387</v>
      </c>
      <c r="H915" s="8" t="s">
        <v>388</v>
      </c>
      <c r="I915" s="16" t="s">
        <v>138</v>
      </c>
      <c r="J915" s="16">
        <v>17.899357999999999</v>
      </c>
      <c r="K915" s="16">
        <v>-96.339060000000003</v>
      </c>
      <c r="L915" s="16" t="str">
        <f>HYPERLINK("https://maps.google.com/?q=17.899358,-96.33906", "🔗 Ver Mapa")</f>
        <v>🔗 Ver Mapa</v>
      </c>
    </row>
    <row r="916" spans="1:12" ht="87" x14ac:dyDescent="0.35">
      <c r="A916" s="6" t="s">
        <v>225</v>
      </c>
      <c r="B916" s="6" t="s">
        <v>226</v>
      </c>
      <c r="C916" s="6" t="s">
        <v>386</v>
      </c>
      <c r="D916" s="11" t="s">
        <v>69</v>
      </c>
      <c r="E916" s="17" t="s">
        <v>287</v>
      </c>
      <c r="F916" s="17" t="s">
        <v>288</v>
      </c>
      <c r="G916" s="11" t="s">
        <v>387</v>
      </c>
      <c r="H916" s="11" t="s">
        <v>388</v>
      </c>
      <c r="I916" s="17" t="s">
        <v>138</v>
      </c>
      <c r="J916" s="17">
        <v>17.899574999999999</v>
      </c>
      <c r="K916" s="17">
        <v>-96.331025999999994</v>
      </c>
      <c r="L916" s="17" t="str">
        <f>HYPERLINK("https://maps.google.com/?q=17.899575,-96.331026", "🔗 Ver Mapa")</f>
        <v>🔗 Ver Mapa</v>
      </c>
    </row>
    <row r="917" spans="1:12" ht="87" x14ac:dyDescent="0.35">
      <c r="A917" s="5" t="s">
        <v>225</v>
      </c>
      <c r="B917" s="5" t="s">
        <v>226</v>
      </c>
      <c r="C917" s="5" t="s">
        <v>386</v>
      </c>
      <c r="D917" s="8" t="s">
        <v>69</v>
      </c>
      <c r="E917" s="16" t="s">
        <v>287</v>
      </c>
      <c r="F917" s="16" t="s">
        <v>288</v>
      </c>
      <c r="G917" s="8" t="s">
        <v>387</v>
      </c>
      <c r="H917" s="8" t="s">
        <v>388</v>
      </c>
      <c r="I917" s="16" t="s">
        <v>138</v>
      </c>
      <c r="J917" s="16">
        <v>17.900874000000002</v>
      </c>
      <c r="K917" s="16">
        <v>-96.332871999999995</v>
      </c>
      <c r="L917" s="16" t="str">
        <f>HYPERLINK("https://maps.google.com/?q=17.900874,-96.332872", "🔗 Ver Mapa")</f>
        <v>🔗 Ver Mapa</v>
      </c>
    </row>
    <row r="918" spans="1:12" ht="87" x14ac:dyDescent="0.35">
      <c r="A918" s="6" t="s">
        <v>225</v>
      </c>
      <c r="B918" s="6" t="s">
        <v>226</v>
      </c>
      <c r="C918" s="6" t="s">
        <v>386</v>
      </c>
      <c r="D918" s="11" t="s">
        <v>69</v>
      </c>
      <c r="E918" s="17" t="s">
        <v>287</v>
      </c>
      <c r="F918" s="17" t="s">
        <v>288</v>
      </c>
      <c r="G918" s="11" t="s">
        <v>387</v>
      </c>
      <c r="H918" s="11" t="s">
        <v>388</v>
      </c>
      <c r="I918" s="17" t="s">
        <v>138</v>
      </c>
      <c r="J918" s="17">
        <v>17.901378999999999</v>
      </c>
      <c r="K918" s="17">
        <v>-96.335920000000002</v>
      </c>
      <c r="L918" s="17" t="str">
        <f>HYPERLINK("https://maps.google.com/?q=17.901379,-96.33592", "🔗 Ver Mapa")</f>
        <v>🔗 Ver Mapa</v>
      </c>
    </row>
    <row r="919" spans="1:12" ht="87" x14ac:dyDescent="0.35">
      <c r="A919" s="5" t="s">
        <v>225</v>
      </c>
      <c r="B919" s="5" t="s">
        <v>226</v>
      </c>
      <c r="C919" s="5" t="s">
        <v>386</v>
      </c>
      <c r="D919" s="8" t="s">
        <v>69</v>
      </c>
      <c r="E919" s="16" t="s">
        <v>287</v>
      </c>
      <c r="F919" s="16" t="s">
        <v>288</v>
      </c>
      <c r="G919" s="8" t="s">
        <v>387</v>
      </c>
      <c r="H919" s="8" t="s">
        <v>388</v>
      </c>
      <c r="I919" s="16" t="s">
        <v>138</v>
      </c>
      <c r="J919" s="16">
        <v>17.901800999999999</v>
      </c>
      <c r="K919" s="16">
        <v>-96.341926000000001</v>
      </c>
      <c r="L919" s="16" t="str">
        <f>HYPERLINK("https://maps.google.com/?q=17.901801,-96.341926", "🔗 Ver Mapa")</f>
        <v>🔗 Ver Mapa</v>
      </c>
    </row>
    <row r="920" spans="1:12" ht="87" x14ac:dyDescent="0.35">
      <c r="A920" s="6" t="s">
        <v>225</v>
      </c>
      <c r="B920" s="6" t="s">
        <v>226</v>
      </c>
      <c r="C920" s="6" t="s">
        <v>386</v>
      </c>
      <c r="D920" s="11" t="s">
        <v>69</v>
      </c>
      <c r="E920" s="17" t="s">
        <v>287</v>
      </c>
      <c r="F920" s="17" t="s">
        <v>288</v>
      </c>
      <c r="G920" s="11" t="s">
        <v>387</v>
      </c>
      <c r="H920" s="11" t="s">
        <v>388</v>
      </c>
      <c r="I920" s="17" t="s">
        <v>138</v>
      </c>
      <c r="J920" s="17">
        <v>17.907605</v>
      </c>
      <c r="K920" s="17">
        <v>-96.343514999999996</v>
      </c>
      <c r="L920" s="17" t="str">
        <f>HYPERLINK("https://maps.google.com/?q=17.907605,-96.343515", "🔗 Ver Mapa")</f>
        <v>🔗 Ver Mapa</v>
      </c>
    </row>
    <row r="921" spans="1:12" ht="87" x14ac:dyDescent="0.35">
      <c r="A921" s="5" t="s">
        <v>225</v>
      </c>
      <c r="B921" s="5" t="s">
        <v>226</v>
      </c>
      <c r="C921" s="5" t="s">
        <v>386</v>
      </c>
      <c r="D921" s="8" t="s">
        <v>69</v>
      </c>
      <c r="E921" s="16" t="s">
        <v>287</v>
      </c>
      <c r="F921" s="16" t="s">
        <v>288</v>
      </c>
      <c r="G921" s="8" t="s">
        <v>387</v>
      </c>
      <c r="H921" s="8" t="s">
        <v>388</v>
      </c>
      <c r="I921" s="16" t="s">
        <v>138</v>
      </c>
      <c r="J921" s="16">
        <v>17.910238</v>
      </c>
      <c r="K921" s="16">
        <v>-96.344915999999998</v>
      </c>
      <c r="L921" s="16" t="str">
        <f>HYPERLINK("https://maps.google.com/?q=17.910238,-96.344916", "🔗 Ver Mapa")</f>
        <v>🔗 Ver Mapa</v>
      </c>
    </row>
    <row r="922" spans="1:12" ht="87" x14ac:dyDescent="0.35">
      <c r="A922" s="6" t="s">
        <v>225</v>
      </c>
      <c r="B922" s="6" t="s">
        <v>226</v>
      </c>
      <c r="C922" s="6" t="s">
        <v>386</v>
      </c>
      <c r="D922" s="11" t="s">
        <v>69</v>
      </c>
      <c r="E922" s="17" t="s">
        <v>287</v>
      </c>
      <c r="F922" s="17" t="s">
        <v>288</v>
      </c>
      <c r="G922" s="11" t="s">
        <v>387</v>
      </c>
      <c r="H922" s="11" t="s">
        <v>388</v>
      </c>
      <c r="I922" s="17" t="s">
        <v>138</v>
      </c>
      <c r="J922" s="17">
        <v>17.912009000000001</v>
      </c>
      <c r="K922" s="17">
        <v>-96.346895000000004</v>
      </c>
      <c r="L922" s="17" t="str">
        <f>HYPERLINK("https://maps.google.com/?q=17.912009,-96.346895", "🔗 Ver Mapa")</f>
        <v>🔗 Ver Mapa</v>
      </c>
    </row>
    <row r="923" spans="1:12" ht="87" x14ac:dyDescent="0.35">
      <c r="A923" s="5" t="s">
        <v>225</v>
      </c>
      <c r="B923" s="5" t="s">
        <v>226</v>
      </c>
      <c r="C923" s="5" t="s">
        <v>386</v>
      </c>
      <c r="D923" s="8" t="s">
        <v>69</v>
      </c>
      <c r="E923" s="16" t="s">
        <v>287</v>
      </c>
      <c r="F923" s="16" t="s">
        <v>288</v>
      </c>
      <c r="G923" s="8" t="s">
        <v>387</v>
      </c>
      <c r="H923" s="8" t="s">
        <v>388</v>
      </c>
      <c r="I923" s="16" t="s">
        <v>138</v>
      </c>
      <c r="J923" s="16">
        <v>17.912292000000001</v>
      </c>
      <c r="K923" s="16">
        <v>-96.346847999999994</v>
      </c>
      <c r="L923" s="16" t="str">
        <f>HYPERLINK("https://maps.google.com/?q=17.912292,-96.346848", "🔗 Ver Mapa")</f>
        <v>🔗 Ver Mapa</v>
      </c>
    </row>
    <row r="924" spans="1:12" ht="87" x14ac:dyDescent="0.35">
      <c r="A924" s="6" t="s">
        <v>225</v>
      </c>
      <c r="B924" s="6" t="s">
        <v>226</v>
      </c>
      <c r="C924" s="6" t="s">
        <v>386</v>
      </c>
      <c r="D924" s="11" t="s">
        <v>69</v>
      </c>
      <c r="E924" s="17" t="s">
        <v>287</v>
      </c>
      <c r="F924" s="17" t="s">
        <v>288</v>
      </c>
      <c r="G924" s="11" t="s">
        <v>387</v>
      </c>
      <c r="H924" s="11" t="s">
        <v>388</v>
      </c>
      <c r="I924" s="17" t="s">
        <v>138</v>
      </c>
      <c r="J924" s="17">
        <v>17.912680999999999</v>
      </c>
      <c r="K924" s="17">
        <v>-96.346331000000006</v>
      </c>
      <c r="L924" s="17" t="str">
        <f>HYPERLINK("https://maps.google.com/?q=17.912681,-96.346331", "🔗 Ver Mapa")</f>
        <v>🔗 Ver Mapa</v>
      </c>
    </row>
    <row r="925" spans="1:12" ht="29" x14ac:dyDescent="0.35">
      <c r="A925" s="5" t="s">
        <v>11</v>
      </c>
      <c r="B925" s="5" t="s">
        <v>24</v>
      </c>
      <c r="C925" s="5" t="s">
        <v>389</v>
      </c>
      <c r="D925" s="8" t="s">
        <v>71</v>
      </c>
      <c r="E925" s="16" t="s">
        <v>79</v>
      </c>
      <c r="F925" s="16" t="s">
        <v>390</v>
      </c>
      <c r="G925" s="8" t="s">
        <v>391</v>
      </c>
      <c r="H925" s="8" t="s">
        <v>392</v>
      </c>
      <c r="I925" s="16" t="s">
        <v>138</v>
      </c>
      <c r="J925" s="16">
        <v>16.812225000000002</v>
      </c>
      <c r="K925" s="16">
        <v>-97.704624999999993</v>
      </c>
      <c r="L925" s="16" t="str">
        <f>HYPERLINK("https://maps.google.com/?q=16.812225,-97.704625", "🔗 Ver Mapa")</f>
        <v>🔗 Ver Mapa</v>
      </c>
    </row>
    <row r="926" spans="1:12" ht="29" x14ac:dyDescent="0.35">
      <c r="A926" s="6" t="s">
        <v>11</v>
      </c>
      <c r="B926" s="6" t="s">
        <v>24</v>
      </c>
      <c r="C926" s="6" t="s">
        <v>393</v>
      </c>
      <c r="D926" s="11" t="s">
        <v>71</v>
      </c>
      <c r="E926" s="17" t="s">
        <v>164</v>
      </c>
      <c r="F926" s="17" t="s">
        <v>394</v>
      </c>
      <c r="G926" s="11" t="s">
        <v>395</v>
      </c>
      <c r="H926" s="11" t="s">
        <v>396</v>
      </c>
      <c r="I926" s="17" t="s">
        <v>138</v>
      </c>
      <c r="J926" s="17">
        <v>18.135617</v>
      </c>
      <c r="K926" s="17">
        <v>-97.085899999999995</v>
      </c>
      <c r="L926" s="17" t="str">
        <f>HYPERLINK("https://maps.google.com/?q=18.135617,-97.0859", "🔗 Ver Mapa")</f>
        <v>🔗 Ver Mapa</v>
      </c>
    </row>
    <row r="927" spans="1:12" ht="29" x14ac:dyDescent="0.35">
      <c r="A927" s="5" t="s">
        <v>11</v>
      </c>
      <c r="B927" s="5" t="s">
        <v>24</v>
      </c>
      <c r="C927" s="5" t="s">
        <v>397</v>
      </c>
      <c r="D927" s="8" t="s">
        <v>71</v>
      </c>
      <c r="E927" s="16" t="s">
        <v>73</v>
      </c>
      <c r="F927" s="16" t="s">
        <v>260</v>
      </c>
      <c r="G927" s="8" t="s">
        <v>261</v>
      </c>
      <c r="H927" s="8" t="s">
        <v>262</v>
      </c>
      <c r="I927" s="16" t="s">
        <v>138</v>
      </c>
      <c r="J927" s="16">
        <v>17.872954</v>
      </c>
      <c r="K927" s="16">
        <v>-97.379131000000001</v>
      </c>
      <c r="L927" s="16" t="str">
        <f>HYPERLINK("https://maps.google.com/?q=17.872954,-97.379131", "🔗 Ver Mapa")</f>
        <v>🔗 Ver Mapa</v>
      </c>
    </row>
    <row r="928" spans="1:12" ht="29" x14ac:dyDescent="0.35">
      <c r="A928" s="6" t="s">
        <v>11</v>
      </c>
      <c r="B928" s="6" t="s">
        <v>24</v>
      </c>
      <c r="C928" s="6" t="s">
        <v>398</v>
      </c>
      <c r="D928" s="11" t="s">
        <v>71</v>
      </c>
      <c r="E928" s="17" t="s">
        <v>78</v>
      </c>
      <c r="F928" s="17" t="s">
        <v>399</v>
      </c>
      <c r="G928" s="11" t="s">
        <v>400</v>
      </c>
      <c r="H928" s="11" t="s">
        <v>401</v>
      </c>
      <c r="I928" s="17" t="s">
        <v>138</v>
      </c>
      <c r="J928" s="17">
        <v>17.438040999999998</v>
      </c>
      <c r="K928" s="17">
        <v>-96.513793000000007</v>
      </c>
      <c r="L928" s="17" t="str">
        <f>HYPERLINK("https://maps.google.com/?q=17.438041,-96.513793", "🔗 Ver Mapa")</f>
        <v>🔗 Ver Mapa</v>
      </c>
    </row>
    <row r="929" spans="1:12" ht="43.5" x14ac:dyDescent="0.35">
      <c r="A929" s="5" t="s">
        <v>11</v>
      </c>
      <c r="B929" s="5" t="s">
        <v>24</v>
      </c>
      <c r="C929" s="5" t="s">
        <v>402</v>
      </c>
      <c r="D929" s="8" t="s">
        <v>71</v>
      </c>
      <c r="E929" s="16" t="s">
        <v>78</v>
      </c>
      <c r="F929" s="16" t="s">
        <v>399</v>
      </c>
      <c r="G929" s="8" t="s">
        <v>403</v>
      </c>
      <c r="H929" s="8" t="s">
        <v>404</v>
      </c>
      <c r="I929" s="16" t="s">
        <v>138</v>
      </c>
      <c r="J929" s="16">
        <v>17.325391324470999</v>
      </c>
      <c r="K929" s="16">
        <v>-96.480530600400996</v>
      </c>
      <c r="L929" s="16" t="str">
        <f>HYPERLINK("https://maps.google.com/?q=17.325391324471,-96.480530600401", "🔗 Ver Mapa")</f>
        <v>🔗 Ver Mapa</v>
      </c>
    </row>
    <row r="930" spans="1:12" ht="72.5" x14ac:dyDescent="0.35">
      <c r="A930" s="6" t="s">
        <v>225</v>
      </c>
      <c r="B930" s="6" t="s">
        <v>226</v>
      </c>
      <c r="C930" s="6" t="s">
        <v>405</v>
      </c>
      <c r="D930" s="11" t="s">
        <v>69</v>
      </c>
      <c r="E930" s="17" t="s">
        <v>73</v>
      </c>
      <c r="F930" s="17" t="s">
        <v>249</v>
      </c>
      <c r="G930" s="11" t="s">
        <v>406</v>
      </c>
      <c r="H930" s="11" t="s">
        <v>407</v>
      </c>
      <c r="I930" s="17" t="s">
        <v>138</v>
      </c>
      <c r="J930" s="17">
        <v>17.649979999999999</v>
      </c>
      <c r="K930" s="17">
        <v>-98.083726999999996</v>
      </c>
      <c r="L930" s="17" t="str">
        <f>HYPERLINK("https://maps.google.com/?q=17.64998,-98.083727", "🔗 Ver Mapa")</f>
        <v>🔗 Ver Mapa</v>
      </c>
    </row>
    <row r="931" spans="1:12" ht="72.5" x14ac:dyDescent="0.35">
      <c r="A931" s="5" t="s">
        <v>225</v>
      </c>
      <c r="B931" s="5" t="s">
        <v>226</v>
      </c>
      <c r="C931" s="5" t="s">
        <v>405</v>
      </c>
      <c r="D931" s="8" t="s">
        <v>69</v>
      </c>
      <c r="E931" s="16" t="s">
        <v>73</v>
      </c>
      <c r="F931" s="16" t="s">
        <v>249</v>
      </c>
      <c r="G931" s="8" t="s">
        <v>406</v>
      </c>
      <c r="H931" s="8" t="s">
        <v>407</v>
      </c>
      <c r="I931" s="16" t="s">
        <v>138</v>
      </c>
      <c r="J931" s="16">
        <v>17.652176999999998</v>
      </c>
      <c r="K931" s="16">
        <v>-98.087845000000002</v>
      </c>
      <c r="L931" s="16" t="str">
        <f>HYPERLINK("https://maps.google.com/?q=17.652177,-98.087845", "🔗 Ver Mapa")</f>
        <v>🔗 Ver Mapa</v>
      </c>
    </row>
    <row r="932" spans="1:12" ht="72.5" x14ac:dyDescent="0.35">
      <c r="A932" s="6" t="s">
        <v>225</v>
      </c>
      <c r="B932" s="6" t="s">
        <v>226</v>
      </c>
      <c r="C932" s="6" t="s">
        <v>405</v>
      </c>
      <c r="D932" s="11" t="s">
        <v>69</v>
      </c>
      <c r="E932" s="17" t="s">
        <v>73</v>
      </c>
      <c r="F932" s="17" t="s">
        <v>249</v>
      </c>
      <c r="G932" s="11" t="s">
        <v>406</v>
      </c>
      <c r="H932" s="11" t="s">
        <v>407</v>
      </c>
      <c r="I932" s="17" t="s">
        <v>138</v>
      </c>
      <c r="J932" s="17">
        <v>17.654401</v>
      </c>
      <c r="K932" s="17">
        <v>-98.091943999999998</v>
      </c>
      <c r="L932" s="17" t="str">
        <f>HYPERLINK("https://maps.google.com/?q=17.654401,-98.091944", "🔗 Ver Mapa")</f>
        <v>🔗 Ver Mapa</v>
      </c>
    </row>
    <row r="933" spans="1:12" ht="58" x14ac:dyDescent="0.35">
      <c r="A933" s="5" t="s">
        <v>225</v>
      </c>
      <c r="B933" s="5" t="s">
        <v>226</v>
      </c>
      <c r="C933" s="5" t="s">
        <v>408</v>
      </c>
      <c r="D933" s="8" t="s">
        <v>69</v>
      </c>
      <c r="E933" s="16" t="s">
        <v>79</v>
      </c>
      <c r="F933" s="16" t="s">
        <v>195</v>
      </c>
      <c r="G933" s="8" t="s">
        <v>409</v>
      </c>
      <c r="H933" s="8" t="s">
        <v>410</v>
      </c>
      <c r="I933" s="16" t="s">
        <v>138</v>
      </c>
      <c r="J933" s="16">
        <v>16.353838</v>
      </c>
      <c r="K933" s="16">
        <v>-96.538302000000002</v>
      </c>
      <c r="L933" s="16" t="str">
        <f>HYPERLINK("https://maps.google.com/?q=16.353838,-96.538302", "🔗 Ver Mapa")</f>
        <v>🔗 Ver Mapa</v>
      </c>
    </row>
    <row r="934" spans="1:12" ht="58" x14ac:dyDescent="0.35">
      <c r="A934" s="6" t="s">
        <v>225</v>
      </c>
      <c r="B934" s="6" t="s">
        <v>226</v>
      </c>
      <c r="C934" s="6" t="s">
        <v>408</v>
      </c>
      <c r="D934" s="11" t="s">
        <v>69</v>
      </c>
      <c r="E934" s="17" t="s">
        <v>79</v>
      </c>
      <c r="F934" s="17" t="s">
        <v>195</v>
      </c>
      <c r="G934" s="11" t="s">
        <v>409</v>
      </c>
      <c r="H934" s="11" t="s">
        <v>410</v>
      </c>
      <c r="I934" s="17" t="s">
        <v>138</v>
      </c>
      <c r="J934" s="17">
        <v>16.355008000000002</v>
      </c>
      <c r="K934" s="17">
        <v>-96.540836999999996</v>
      </c>
      <c r="L934" s="17" t="str">
        <f>HYPERLINK("https://maps.google.com/?q=16.355008,-96.540837", "🔗 Ver Mapa")</f>
        <v>🔗 Ver Mapa</v>
      </c>
    </row>
    <row r="935" spans="1:12" ht="58" x14ac:dyDescent="0.35">
      <c r="A935" s="5" t="s">
        <v>225</v>
      </c>
      <c r="B935" s="5" t="s">
        <v>226</v>
      </c>
      <c r="C935" s="5" t="s">
        <v>408</v>
      </c>
      <c r="D935" s="8" t="s">
        <v>69</v>
      </c>
      <c r="E935" s="16" t="s">
        <v>79</v>
      </c>
      <c r="F935" s="16" t="s">
        <v>195</v>
      </c>
      <c r="G935" s="8" t="s">
        <v>409</v>
      </c>
      <c r="H935" s="8" t="s">
        <v>410</v>
      </c>
      <c r="I935" s="16" t="s">
        <v>138</v>
      </c>
      <c r="J935" s="16">
        <v>16.357482999999998</v>
      </c>
      <c r="K935" s="16">
        <v>-96.542910000000006</v>
      </c>
      <c r="L935" s="16" t="str">
        <f>HYPERLINK("https://maps.google.com/?q=16.357483,-96.54291", "🔗 Ver Mapa")</f>
        <v>🔗 Ver Mapa</v>
      </c>
    </row>
    <row r="936" spans="1:12" ht="72.5" x14ac:dyDescent="0.35">
      <c r="A936" s="6" t="s">
        <v>225</v>
      </c>
      <c r="B936" s="6" t="s">
        <v>226</v>
      </c>
      <c r="C936" s="6" t="s">
        <v>411</v>
      </c>
      <c r="D936" s="11" t="s">
        <v>69</v>
      </c>
      <c r="E936" s="17" t="s">
        <v>75</v>
      </c>
      <c r="F936" s="17" t="s">
        <v>87</v>
      </c>
      <c r="G936" s="11" t="s">
        <v>412</v>
      </c>
      <c r="H936" s="11" t="s">
        <v>413</v>
      </c>
      <c r="I936" s="17" t="s">
        <v>138</v>
      </c>
      <c r="J936" s="17">
        <v>17.530253999999999</v>
      </c>
      <c r="K936" s="17">
        <v>-96.809792000000002</v>
      </c>
      <c r="L936" s="17" t="str">
        <f>HYPERLINK("https://maps.google.com/?q=17.530254,-96.809792", "🔗 Ver Mapa")</f>
        <v>🔗 Ver Mapa</v>
      </c>
    </row>
    <row r="937" spans="1:12" ht="72.5" x14ac:dyDescent="0.35">
      <c r="A937" s="5" t="s">
        <v>225</v>
      </c>
      <c r="B937" s="5" t="s">
        <v>226</v>
      </c>
      <c r="C937" s="5" t="s">
        <v>411</v>
      </c>
      <c r="D937" s="8" t="s">
        <v>69</v>
      </c>
      <c r="E937" s="16" t="s">
        <v>75</v>
      </c>
      <c r="F937" s="16" t="s">
        <v>87</v>
      </c>
      <c r="G937" s="8" t="s">
        <v>412</v>
      </c>
      <c r="H937" s="8" t="s">
        <v>413</v>
      </c>
      <c r="I937" s="16" t="s">
        <v>138</v>
      </c>
      <c r="J937" s="16">
        <v>17.531506</v>
      </c>
      <c r="K937" s="16">
        <v>-96.811589999999995</v>
      </c>
      <c r="L937" s="16" t="str">
        <f>HYPERLINK("https://maps.google.com/?q=17.531506,-96.81159", "🔗 Ver Mapa")</f>
        <v>🔗 Ver Mapa</v>
      </c>
    </row>
    <row r="938" spans="1:12" ht="72.5" x14ac:dyDescent="0.35">
      <c r="A938" s="6" t="s">
        <v>225</v>
      </c>
      <c r="B938" s="6" t="s">
        <v>226</v>
      </c>
      <c r="C938" s="6" t="s">
        <v>411</v>
      </c>
      <c r="D938" s="11" t="s">
        <v>69</v>
      </c>
      <c r="E938" s="17" t="s">
        <v>75</v>
      </c>
      <c r="F938" s="17" t="s">
        <v>87</v>
      </c>
      <c r="G938" s="11" t="s">
        <v>412</v>
      </c>
      <c r="H938" s="11" t="s">
        <v>413</v>
      </c>
      <c r="I938" s="17" t="s">
        <v>138</v>
      </c>
      <c r="J938" s="17">
        <v>17.534136</v>
      </c>
      <c r="K938" s="17">
        <v>-96.813562000000005</v>
      </c>
      <c r="L938" s="17" t="str">
        <f>HYPERLINK("https://maps.google.com/?q=17.534136,-96.813562", "🔗 Ver Mapa")</f>
        <v>🔗 Ver Mapa</v>
      </c>
    </row>
    <row r="939" spans="1:12" ht="43.5" x14ac:dyDescent="0.35">
      <c r="A939" s="5" t="s">
        <v>414</v>
      </c>
      <c r="B939" s="5" t="s">
        <v>415</v>
      </c>
      <c r="C939" s="5" t="s">
        <v>416</v>
      </c>
      <c r="D939" s="8" t="s">
        <v>417</v>
      </c>
      <c r="E939" s="16" t="s">
        <v>75</v>
      </c>
      <c r="F939" s="16" t="s">
        <v>86</v>
      </c>
      <c r="G939" s="8" t="s">
        <v>418</v>
      </c>
      <c r="H939" s="8" t="s">
        <v>419</v>
      </c>
      <c r="I939" s="16" t="s">
        <v>138</v>
      </c>
      <c r="J939" s="16">
        <v>17.055050162284999</v>
      </c>
      <c r="K939" s="16">
        <v>-96.653903109354005</v>
      </c>
      <c r="L939" s="16" t="str">
        <f>HYPERLINK("https://maps.google.com/?q=17.055050162285,-96.653903109354", "🔗 Ver Mapa")</f>
        <v>🔗 Ver Mapa</v>
      </c>
    </row>
    <row r="940" spans="1:12" ht="29" x14ac:dyDescent="0.35">
      <c r="A940" s="6" t="s">
        <v>420</v>
      </c>
      <c r="B940" s="6" t="s">
        <v>421</v>
      </c>
      <c r="C940" s="6" t="s">
        <v>422</v>
      </c>
      <c r="D940" s="11" t="s">
        <v>62</v>
      </c>
      <c r="E940" s="17" t="s">
        <v>75</v>
      </c>
      <c r="F940" s="17" t="s">
        <v>86</v>
      </c>
      <c r="G940" s="11" t="s">
        <v>103</v>
      </c>
      <c r="H940" s="11" t="s">
        <v>125</v>
      </c>
      <c r="I940" s="17" t="s">
        <v>138</v>
      </c>
      <c r="J940" s="17">
        <v>17.075642408318</v>
      </c>
      <c r="K940" s="17">
        <v>-96.715907502755002</v>
      </c>
      <c r="L940" s="17" t="str">
        <f>HYPERLINK("https://maps.google.com/?q=17.075642408318,-96.715907502755", "🔗 Ver Mapa")</f>
        <v>🔗 Ver Mapa</v>
      </c>
    </row>
    <row r="941" spans="1:12" ht="29" x14ac:dyDescent="0.35">
      <c r="A941" s="5" t="s">
        <v>9</v>
      </c>
      <c r="B941" s="5" t="s">
        <v>22</v>
      </c>
      <c r="C941" s="5" t="s">
        <v>423</v>
      </c>
      <c r="D941" s="8" t="s">
        <v>65</v>
      </c>
      <c r="E941" s="16" t="s">
        <v>75</v>
      </c>
      <c r="F941" s="16" t="s">
        <v>86</v>
      </c>
      <c r="G941" s="8" t="s">
        <v>103</v>
      </c>
      <c r="H941" s="8" t="s">
        <v>125</v>
      </c>
      <c r="I941" s="16" t="s">
        <v>138</v>
      </c>
      <c r="J941" s="16">
        <v>17.061695</v>
      </c>
      <c r="K941" s="16">
        <v>-96.725808000000001</v>
      </c>
      <c r="L941" s="16" t="str">
        <f>HYPERLINK("https://maps.google.com/?q=17.061695,-96.725808", "🔗 Ver Mapa")</f>
        <v>🔗 Ver Mapa</v>
      </c>
    </row>
    <row r="942" spans="1:12" ht="29" x14ac:dyDescent="0.35">
      <c r="A942" s="6" t="s">
        <v>9</v>
      </c>
      <c r="B942" s="6" t="s">
        <v>22</v>
      </c>
      <c r="C942" s="6" t="s">
        <v>423</v>
      </c>
      <c r="D942" s="11" t="s">
        <v>65</v>
      </c>
      <c r="E942" s="17" t="s">
        <v>75</v>
      </c>
      <c r="F942" s="17" t="s">
        <v>86</v>
      </c>
      <c r="G942" s="11" t="s">
        <v>103</v>
      </c>
      <c r="H942" s="11" t="s">
        <v>125</v>
      </c>
      <c r="I942" s="17" t="s">
        <v>138</v>
      </c>
      <c r="J942" s="17">
        <v>17.068541</v>
      </c>
      <c r="K942" s="17">
        <v>-96.731128999999996</v>
      </c>
      <c r="L942" s="17" t="str">
        <f>HYPERLINK("https://maps.google.com/?q=17.068541,-96.731129", "🔗 Ver Mapa")</f>
        <v>🔗 Ver Mapa</v>
      </c>
    </row>
    <row r="943" spans="1:12" ht="29" x14ac:dyDescent="0.35">
      <c r="A943" s="5" t="s">
        <v>9</v>
      </c>
      <c r="B943" s="5" t="s">
        <v>22</v>
      </c>
      <c r="C943" s="5" t="s">
        <v>424</v>
      </c>
      <c r="D943" s="8" t="s">
        <v>65</v>
      </c>
      <c r="E943" s="16" t="s">
        <v>75</v>
      </c>
      <c r="F943" s="16" t="s">
        <v>86</v>
      </c>
      <c r="G943" s="8" t="s">
        <v>103</v>
      </c>
      <c r="H943" s="8" t="s">
        <v>125</v>
      </c>
      <c r="I943" s="16" t="s">
        <v>138</v>
      </c>
      <c r="J943" s="16">
        <v>17.061695</v>
      </c>
      <c r="K943" s="16">
        <v>-96.725808000000001</v>
      </c>
      <c r="L943" s="16" t="str">
        <f>HYPERLINK("https://maps.google.com/?q=17.061695,-96.725808", "🔗 Ver Mapa")</f>
        <v>🔗 Ver Mapa</v>
      </c>
    </row>
    <row r="944" spans="1:12" ht="29" x14ac:dyDescent="0.35">
      <c r="A944" s="6" t="s">
        <v>9</v>
      </c>
      <c r="B944" s="6" t="s">
        <v>22</v>
      </c>
      <c r="C944" s="6" t="s">
        <v>424</v>
      </c>
      <c r="D944" s="11" t="s">
        <v>65</v>
      </c>
      <c r="E944" s="17" t="s">
        <v>75</v>
      </c>
      <c r="F944" s="17" t="s">
        <v>86</v>
      </c>
      <c r="G944" s="11" t="s">
        <v>103</v>
      </c>
      <c r="H944" s="11" t="s">
        <v>125</v>
      </c>
      <c r="I944" s="17" t="s">
        <v>138</v>
      </c>
      <c r="J944" s="17">
        <v>17.063683000000001</v>
      </c>
      <c r="K944" s="17">
        <v>-96.729648999999995</v>
      </c>
      <c r="L944" s="17" t="str">
        <f>HYPERLINK("https://maps.google.com/?q=17.063683,-96.729649", "🔗 Ver Mapa")</f>
        <v>🔗 Ver Mapa</v>
      </c>
    </row>
    <row r="945" spans="1:12" ht="29" x14ac:dyDescent="0.35">
      <c r="A945" s="5" t="s">
        <v>9</v>
      </c>
      <c r="B945" s="5" t="s">
        <v>22</v>
      </c>
      <c r="C945" s="5" t="s">
        <v>424</v>
      </c>
      <c r="D945" s="8" t="s">
        <v>65</v>
      </c>
      <c r="E945" s="16" t="s">
        <v>75</v>
      </c>
      <c r="F945" s="16" t="s">
        <v>86</v>
      </c>
      <c r="G945" s="8" t="s">
        <v>103</v>
      </c>
      <c r="H945" s="8" t="s">
        <v>125</v>
      </c>
      <c r="I945" s="16" t="s">
        <v>138</v>
      </c>
      <c r="J945" s="16">
        <v>17.064537000000001</v>
      </c>
      <c r="K945" s="16">
        <v>-96.704736999999994</v>
      </c>
      <c r="L945" s="16" t="str">
        <f>HYPERLINK("https://maps.google.com/?q=17.064537,-96.704737", "🔗 Ver Mapa")</f>
        <v>🔗 Ver Mapa</v>
      </c>
    </row>
    <row r="946" spans="1:12" ht="29" x14ac:dyDescent="0.35">
      <c r="A946" s="6" t="s">
        <v>9</v>
      </c>
      <c r="B946" s="6" t="s">
        <v>22</v>
      </c>
      <c r="C946" s="6" t="s">
        <v>424</v>
      </c>
      <c r="D946" s="11" t="s">
        <v>65</v>
      </c>
      <c r="E946" s="17" t="s">
        <v>75</v>
      </c>
      <c r="F946" s="17" t="s">
        <v>86</v>
      </c>
      <c r="G946" s="11" t="s">
        <v>103</v>
      </c>
      <c r="H946" s="11" t="s">
        <v>125</v>
      </c>
      <c r="I946" s="17" t="s">
        <v>138</v>
      </c>
      <c r="J946" s="17">
        <v>17.068541</v>
      </c>
      <c r="K946" s="17">
        <v>-96.731128999999996</v>
      </c>
      <c r="L946" s="17" t="str">
        <f>HYPERLINK("https://maps.google.com/?q=17.068541,-96.731129", "🔗 Ver Mapa")</f>
        <v>🔗 Ver Mapa</v>
      </c>
    </row>
    <row r="947" spans="1:12" ht="29" x14ac:dyDescent="0.35">
      <c r="A947" s="5" t="s">
        <v>3</v>
      </c>
      <c r="B947" s="5" t="s">
        <v>16</v>
      </c>
      <c r="C947" s="5" t="s">
        <v>425</v>
      </c>
      <c r="D947" s="8" t="s">
        <v>63</v>
      </c>
      <c r="E947" s="16" t="s">
        <v>73</v>
      </c>
      <c r="F947" s="16" t="s">
        <v>83</v>
      </c>
      <c r="G947" s="8" t="s">
        <v>97</v>
      </c>
      <c r="H947" s="8" t="s">
        <v>426</v>
      </c>
      <c r="I947" s="16" t="s">
        <v>138</v>
      </c>
      <c r="J947" s="16">
        <v>17.100544645744002</v>
      </c>
      <c r="K947" s="16">
        <v>-97.760142234428002</v>
      </c>
      <c r="L947" s="16" t="str">
        <f>HYPERLINK("https://maps.google.com/?q=17.100544645744,-97.760142234428", "🔗 Ver Mapa")</f>
        <v>🔗 Ver Mapa</v>
      </c>
    </row>
    <row r="948" spans="1:12" ht="58" x14ac:dyDescent="0.35">
      <c r="A948" s="6" t="s">
        <v>1</v>
      </c>
      <c r="B948" s="6" t="s">
        <v>14</v>
      </c>
      <c r="C948" s="6" t="s">
        <v>427</v>
      </c>
      <c r="D948" s="11" t="s">
        <v>61</v>
      </c>
      <c r="E948" s="17" t="s">
        <v>79</v>
      </c>
      <c r="F948" s="17" t="s">
        <v>390</v>
      </c>
      <c r="G948" s="11" t="s">
        <v>428</v>
      </c>
      <c r="H948" s="11" t="s">
        <v>429</v>
      </c>
      <c r="I948" s="17" t="s">
        <v>138</v>
      </c>
      <c r="J948" s="17">
        <v>16.677051233337</v>
      </c>
      <c r="K948" s="17">
        <v>-98.076267298016006</v>
      </c>
      <c r="L948" s="17" t="str">
        <f>HYPERLINK("https://maps.google.com/?q=16.677051233337,-98.076267298016", "🔗 Ver Mapa")</f>
        <v>🔗 Ver Mapa</v>
      </c>
    </row>
    <row r="949" spans="1:12" ht="58" x14ac:dyDescent="0.35">
      <c r="A949" s="5" t="s">
        <v>1</v>
      </c>
      <c r="B949" s="5" t="s">
        <v>14</v>
      </c>
      <c r="C949" s="5" t="s">
        <v>430</v>
      </c>
      <c r="D949" s="8" t="s">
        <v>61</v>
      </c>
      <c r="E949" s="16" t="s">
        <v>75</v>
      </c>
      <c r="F949" s="16" t="s">
        <v>156</v>
      </c>
      <c r="G949" s="8" t="s">
        <v>431</v>
      </c>
      <c r="H949" s="8" t="s">
        <v>432</v>
      </c>
      <c r="I949" s="16" t="s">
        <v>138</v>
      </c>
      <c r="J949" s="16">
        <v>16.659061494519001</v>
      </c>
      <c r="K949" s="16">
        <v>-96.728782984987006</v>
      </c>
      <c r="L949" s="16" t="str">
        <f>HYPERLINK("https://maps.google.com/?q=16.659061494519,-96.728782984987", "🔗 Ver Mapa")</f>
        <v>🔗 Ver Mapa</v>
      </c>
    </row>
    <row r="950" spans="1:12" ht="58" x14ac:dyDescent="0.35">
      <c r="A950" s="6" t="s">
        <v>1</v>
      </c>
      <c r="B950" s="6" t="s">
        <v>14</v>
      </c>
      <c r="C950" s="6" t="s">
        <v>433</v>
      </c>
      <c r="D950" s="11" t="s">
        <v>61</v>
      </c>
      <c r="E950" s="17" t="s">
        <v>73</v>
      </c>
      <c r="F950" s="17" t="s">
        <v>260</v>
      </c>
      <c r="G950" s="11" t="s">
        <v>434</v>
      </c>
      <c r="H950" s="11" t="s">
        <v>435</v>
      </c>
      <c r="I950" s="17" t="s">
        <v>138</v>
      </c>
      <c r="J950" s="17">
        <v>17.738354151452</v>
      </c>
      <c r="K950" s="17">
        <v>-97.274365228224994</v>
      </c>
      <c r="L950" s="17" t="str">
        <f>HYPERLINK("https://maps.google.com/?q=17.738354151452,-97.274365228225", "🔗 Ver Mapa")</f>
        <v>🔗 Ver Mapa</v>
      </c>
    </row>
    <row r="951" spans="1:12" ht="58" x14ac:dyDescent="0.35">
      <c r="A951" s="5" t="s">
        <v>1</v>
      </c>
      <c r="B951" s="5" t="s">
        <v>14</v>
      </c>
      <c r="C951" s="5" t="s">
        <v>436</v>
      </c>
      <c r="D951" s="8" t="s">
        <v>61</v>
      </c>
      <c r="E951" s="16" t="s">
        <v>78</v>
      </c>
      <c r="F951" s="16" t="s">
        <v>182</v>
      </c>
      <c r="G951" s="8" t="s">
        <v>437</v>
      </c>
      <c r="H951" s="8" t="s">
        <v>438</v>
      </c>
      <c r="I951" s="16" t="s">
        <v>138</v>
      </c>
      <c r="J951" s="16">
        <v>17.306379441250002</v>
      </c>
      <c r="K951" s="16">
        <v>-96.205815750732995</v>
      </c>
      <c r="L951" s="16" t="str">
        <f>HYPERLINK("https://maps.google.com/?q=17.30637944125,-96.205815750733", "🔗 Ver Mapa")</f>
        <v>🔗 Ver Mapa</v>
      </c>
    </row>
    <row r="952" spans="1:12" ht="72.5" x14ac:dyDescent="0.35">
      <c r="A952" s="6" t="s">
        <v>1</v>
      </c>
      <c r="B952" s="6" t="s">
        <v>14</v>
      </c>
      <c r="C952" s="6" t="s">
        <v>439</v>
      </c>
      <c r="D952" s="11" t="s">
        <v>61</v>
      </c>
      <c r="E952" s="17" t="s">
        <v>73</v>
      </c>
      <c r="F952" s="17" t="s">
        <v>249</v>
      </c>
      <c r="G952" s="11" t="s">
        <v>440</v>
      </c>
      <c r="H952" s="11" t="s">
        <v>441</v>
      </c>
      <c r="I952" s="17" t="s">
        <v>138</v>
      </c>
      <c r="J952" s="17">
        <v>17.570402738651001</v>
      </c>
      <c r="K952" s="17">
        <v>-97.894096947033006</v>
      </c>
      <c r="L952" s="17" t="str">
        <f>HYPERLINK("https://maps.google.com/?q=17.570402738651,-97.894096947033", "🔗 Ver Mapa")</f>
        <v>🔗 Ver Mapa</v>
      </c>
    </row>
    <row r="953" spans="1:12" ht="58" x14ac:dyDescent="0.35">
      <c r="A953" s="5" t="s">
        <v>1</v>
      </c>
      <c r="B953" s="5" t="s">
        <v>14</v>
      </c>
      <c r="C953" s="5" t="s">
        <v>442</v>
      </c>
      <c r="D953" s="8" t="s">
        <v>61</v>
      </c>
      <c r="E953" s="16" t="s">
        <v>73</v>
      </c>
      <c r="F953" s="16" t="s">
        <v>81</v>
      </c>
      <c r="G953" s="8" t="s">
        <v>93</v>
      </c>
      <c r="H953" s="8" t="s">
        <v>443</v>
      </c>
      <c r="I953" s="16" t="s">
        <v>138</v>
      </c>
      <c r="J953" s="16">
        <v>17.585563123505001</v>
      </c>
      <c r="K953" s="16">
        <v>-97.628634599245999</v>
      </c>
      <c r="L953" s="16" t="str">
        <f>HYPERLINK("https://maps.google.com/?q=17.585563123505,-97.628634599246", "🔗 Ver Mapa")</f>
        <v>🔗 Ver Mapa</v>
      </c>
    </row>
    <row r="954" spans="1:12" ht="58" x14ac:dyDescent="0.35">
      <c r="A954" s="6" t="s">
        <v>1</v>
      </c>
      <c r="B954" s="6" t="s">
        <v>14</v>
      </c>
      <c r="C954" s="6" t="s">
        <v>444</v>
      </c>
      <c r="D954" s="11" t="s">
        <v>61</v>
      </c>
      <c r="E954" s="17" t="s">
        <v>74</v>
      </c>
      <c r="F954" s="17" t="s">
        <v>82</v>
      </c>
      <c r="G954" s="11" t="s">
        <v>445</v>
      </c>
      <c r="H954" s="11" t="s">
        <v>446</v>
      </c>
      <c r="I954" s="17" t="s">
        <v>138</v>
      </c>
      <c r="J954" s="17">
        <v>16.446339419866</v>
      </c>
      <c r="K954" s="17">
        <v>-98.004452574194005</v>
      </c>
      <c r="L954" s="17" t="str">
        <f>HYPERLINK("https://maps.google.com/?q=16.446339419866,-98.004452574194", "🔗 Ver Mapa")</f>
        <v>🔗 Ver Mapa</v>
      </c>
    </row>
    <row r="955" spans="1:12" ht="58" x14ac:dyDescent="0.35">
      <c r="A955" s="5" t="s">
        <v>1</v>
      </c>
      <c r="B955" s="5" t="s">
        <v>14</v>
      </c>
      <c r="C955" s="5" t="s">
        <v>447</v>
      </c>
      <c r="D955" s="8" t="s">
        <v>61</v>
      </c>
      <c r="E955" s="16" t="s">
        <v>74</v>
      </c>
      <c r="F955" s="16" t="s">
        <v>82</v>
      </c>
      <c r="G955" s="8" t="s">
        <v>445</v>
      </c>
      <c r="H955" s="8" t="s">
        <v>448</v>
      </c>
      <c r="I955" s="16" t="s">
        <v>138</v>
      </c>
      <c r="J955" s="16">
        <v>16.450483539051</v>
      </c>
      <c r="K955" s="16">
        <v>-98.014861942400998</v>
      </c>
      <c r="L955" s="16" t="str">
        <f>HYPERLINK("https://maps.google.com/?q=16.450483539051,-98.014861942401", "🔗 Ver Mapa")</f>
        <v>🔗 Ver Mapa</v>
      </c>
    </row>
    <row r="956" spans="1:12" ht="58" x14ac:dyDescent="0.35">
      <c r="A956" s="6" t="s">
        <v>1</v>
      </c>
      <c r="B956" s="6" t="s">
        <v>14</v>
      </c>
      <c r="C956" s="6" t="s">
        <v>449</v>
      </c>
      <c r="D956" s="11" t="s">
        <v>61</v>
      </c>
      <c r="E956" s="17" t="s">
        <v>74</v>
      </c>
      <c r="F956" s="17" t="s">
        <v>82</v>
      </c>
      <c r="G956" s="11" t="s">
        <v>445</v>
      </c>
      <c r="H956" s="11" t="s">
        <v>450</v>
      </c>
      <c r="I956" s="17" t="s">
        <v>138</v>
      </c>
      <c r="J956" s="17">
        <v>16.475453745538001</v>
      </c>
      <c r="K956" s="17">
        <v>-98.010042969983999</v>
      </c>
      <c r="L956" s="17" t="str">
        <f>HYPERLINK("https://maps.google.com/?q=16.475453745538,-98.010042969984", "🔗 Ver Mapa")</f>
        <v>🔗 Ver Mapa</v>
      </c>
    </row>
    <row r="957" spans="1:12" ht="58" x14ac:dyDescent="0.35">
      <c r="A957" s="5" t="s">
        <v>1</v>
      </c>
      <c r="B957" s="5" t="s">
        <v>14</v>
      </c>
      <c r="C957" s="5" t="s">
        <v>451</v>
      </c>
      <c r="D957" s="8" t="s">
        <v>61</v>
      </c>
      <c r="E957" s="16" t="s">
        <v>74</v>
      </c>
      <c r="F957" s="16" t="s">
        <v>82</v>
      </c>
      <c r="G957" s="8" t="s">
        <v>445</v>
      </c>
      <c r="H957" s="8" t="s">
        <v>450</v>
      </c>
      <c r="I957" s="16" t="s">
        <v>138</v>
      </c>
      <c r="J957" s="16">
        <v>16.474073471964001</v>
      </c>
      <c r="K957" s="16">
        <v>-98.013970967418999</v>
      </c>
      <c r="L957" s="16" t="str">
        <f>HYPERLINK("https://maps.google.com/?q=16.474073471964,-98.013970967419", "🔗 Ver Mapa")</f>
        <v>🔗 Ver Mapa</v>
      </c>
    </row>
    <row r="958" spans="1:12" ht="58" x14ac:dyDescent="0.35">
      <c r="A958" s="6" t="s">
        <v>1</v>
      </c>
      <c r="B958" s="6" t="s">
        <v>14</v>
      </c>
      <c r="C958" s="6" t="s">
        <v>452</v>
      </c>
      <c r="D958" s="11" t="s">
        <v>61</v>
      </c>
      <c r="E958" s="17" t="s">
        <v>74</v>
      </c>
      <c r="F958" s="17" t="s">
        <v>453</v>
      </c>
      <c r="G958" s="11" t="s">
        <v>454</v>
      </c>
      <c r="H958" s="11" t="s">
        <v>455</v>
      </c>
      <c r="I958" s="17" t="s">
        <v>138</v>
      </c>
      <c r="J958" s="17">
        <v>16.163163169539999</v>
      </c>
      <c r="K958" s="17">
        <v>-97.194328823785995</v>
      </c>
      <c r="L958" s="17" t="str">
        <f>HYPERLINK("https://maps.google.com/?q=16.16316316954,-97.194328823786", "🔗 Ver Mapa")</f>
        <v>🔗 Ver Mapa</v>
      </c>
    </row>
    <row r="959" spans="1:12" ht="58" x14ac:dyDescent="0.35">
      <c r="A959" s="5" t="s">
        <v>1</v>
      </c>
      <c r="B959" s="5" t="s">
        <v>14</v>
      </c>
      <c r="C959" s="5" t="s">
        <v>456</v>
      </c>
      <c r="D959" s="8" t="s">
        <v>61</v>
      </c>
      <c r="E959" s="16" t="s">
        <v>73</v>
      </c>
      <c r="F959" s="16" t="s">
        <v>83</v>
      </c>
      <c r="G959" s="8" t="s">
        <v>457</v>
      </c>
      <c r="H959" s="8" t="s">
        <v>458</v>
      </c>
      <c r="I959" s="16" t="s">
        <v>138</v>
      </c>
      <c r="J959" s="16">
        <v>17.094993559462001</v>
      </c>
      <c r="K959" s="16">
        <v>-97.497190486728996</v>
      </c>
      <c r="L959" s="16" t="str">
        <f>HYPERLINK("https://maps.google.com/?q=17.094993559462,-97.497190486729", "🔗 Ver Mapa")</f>
        <v>🔗 Ver Mapa</v>
      </c>
    </row>
    <row r="960" spans="1:12" ht="43.5" x14ac:dyDescent="0.35">
      <c r="A960" s="6" t="s">
        <v>1</v>
      </c>
      <c r="B960" s="6" t="s">
        <v>14</v>
      </c>
      <c r="C960" s="6" t="s">
        <v>459</v>
      </c>
      <c r="D960" s="11" t="s">
        <v>61</v>
      </c>
      <c r="E960" s="17" t="s">
        <v>75</v>
      </c>
      <c r="F960" s="17" t="s">
        <v>84</v>
      </c>
      <c r="G960" s="11" t="s">
        <v>460</v>
      </c>
      <c r="H960" s="11" t="s">
        <v>461</v>
      </c>
      <c r="I960" s="17" t="s">
        <v>138</v>
      </c>
      <c r="J960" s="17">
        <v>16.898678456747</v>
      </c>
      <c r="K960" s="17">
        <v>-96.466637942258004</v>
      </c>
      <c r="L960" s="17" t="str">
        <f>HYPERLINK("https://maps.google.com/?q=16.898678456747,-96.466637942258", "🔗 Ver Mapa")</f>
        <v>🔗 Ver Mapa</v>
      </c>
    </row>
    <row r="961" spans="1:12" ht="58" x14ac:dyDescent="0.35">
      <c r="A961" s="5" t="s">
        <v>1</v>
      </c>
      <c r="B961" s="5" t="s">
        <v>14</v>
      </c>
      <c r="C961" s="5" t="s">
        <v>462</v>
      </c>
      <c r="D961" s="8" t="s">
        <v>61</v>
      </c>
      <c r="E961" s="16" t="s">
        <v>77</v>
      </c>
      <c r="F961" s="16" t="s">
        <v>88</v>
      </c>
      <c r="G961" s="8" t="s">
        <v>463</v>
      </c>
      <c r="H961" s="8" t="s">
        <v>464</v>
      </c>
      <c r="I961" s="16" t="s">
        <v>138</v>
      </c>
      <c r="J961" s="16">
        <v>16.337914498585999</v>
      </c>
      <c r="K961" s="16">
        <v>-94.512526101104996</v>
      </c>
      <c r="L961" s="16" t="str">
        <f>HYPERLINK("https://maps.google.com/?q=16.337914498586,-94.512526101105", "🔗 Ver Mapa")</f>
        <v>🔗 Ver Mapa</v>
      </c>
    </row>
    <row r="962" spans="1:12" ht="58" x14ac:dyDescent="0.35">
      <c r="A962" s="6" t="s">
        <v>1</v>
      </c>
      <c r="B962" s="6" t="s">
        <v>14</v>
      </c>
      <c r="C962" s="6" t="s">
        <v>465</v>
      </c>
      <c r="D962" s="11" t="s">
        <v>61</v>
      </c>
      <c r="E962" s="17" t="s">
        <v>77</v>
      </c>
      <c r="F962" s="17" t="s">
        <v>88</v>
      </c>
      <c r="G962" s="11" t="s">
        <v>463</v>
      </c>
      <c r="H962" s="11" t="s">
        <v>464</v>
      </c>
      <c r="I962" s="17" t="s">
        <v>138</v>
      </c>
      <c r="J962" s="17">
        <v>16.330621416905</v>
      </c>
      <c r="K962" s="17">
        <v>-94.517401524326004</v>
      </c>
      <c r="L962" s="17" t="str">
        <f>HYPERLINK("https://maps.google.com/?q=16.330621416905,-94.517401524326", "🔗 Ver Mapa")</f>
        <v>🔗 Ver Mapa</v>
      </c>
    </row>
    <row r="963" spans="1:12" ht="58" x14ac:dyDescent="0.35">
      <c r="A963" s="5" t="s">
        <v>1</v>
      </c>
      <c r="B963" s="5" t="s">
        <v>14</v>
      </c>
      <c r="C963" s="5" t="s">
        <v>466</v>
      </c>
      <c r="D963" s="8" t="s">
        <v>61</v>
      </c>
      <c r="E963" s="16" t="s">
        <v>78</v>
      </c>
      <c r="F963" s="16" t="s">
        <v>399</v>
      </c>
      <c r="G963" s="8" t="s">
        <v>467</v>
      </c>
      <c r="H963" s="8" t="s">
        <v>468</v>
      </c>
      <c r="I963" s="16" t="s">
        <v>138</v>
      </c>
      <c r="J963" s="16">
        <v>17.345931827352999</v>
      </c>
      <c r="K963" s="16">
        <v>-96.621884752403005</v>
      </c>
      <c r="L963" s="16" t="str">
        <f>HYPERLINK("https://maps.google.com/?q=17.345931827353,-96.621884752403", "🔗 Ver Mapa")</f>
        <v>🔗 Ver Mapa</v>
      </c>
    </row>
    <row r="964" spans="1:12" ht="58" x14ac:dyDescent="0.35">
      <c r="A964" s="6" t="s">
        <v>1</v>
      </c>
      <c r="B964" s="6" t="s">
        <v>14</v>
      </c>
      <c r="C964" s="6" t="s">
        <v>469</v>
      </c>
      <c r="D964" s="11" t="s">
        <v>61</v>
      </c>
      <c r="E964" s="17" t="s">
        <v>73</v>
      </c>
      <c r="F964" s="17" t="s">
        <v>187</v>
      </c>
      <c r="G964" s="11" t="s">
        <v>470</v>
      </c>
      <c r="H964" s="11" t="s">
        <v>471</v>
      </c>
      <c r="I964" s="17" t="s">
        <v>138</v>
      </c>
      <c r="J964" s="17">
        <v>17.036439316795999</v>
      </c>
      <c r="K964" s="17">
        <v>-97.296048921125006</v>
      </c>
      <c r="L964" s="17" t="str">
        <f>HYPERLINK("https://maps.google.com/?q=17.036439316796,-97.296048921125", "🔗 Ver Mapa")</f>
        <v>🔗 Ver Mapa</v>
      </c>
    </row>
    <row r="965" spans="1:12" ht="43.5" x14ac:dyDescent="0.35">
      <c r="A965" s="5" t="s">
        <v>1</v>
      </c>
      <c r="B965" s="5" t="s">
        <v>14</v>
      </c>
      <c r="C965" s="5" t="s">
        <v>472</v>
      </c>
      <c r="D965" s="8" t="s">
        <v>61</v>
      </c>
      <c r="E965" s="16" t="s">
        <v>74</v>
      </c>
      <c r="F965" s="16" t="s">
        <v>89</v>
      </c>
      <c r="G965" s="8" t="s">
        <v>473</v>
      </c>
      <c r="H965" s="8" t="s">
        <v>474</v>
      </c>
      <c r="I965" s="16" t="s">
        <v>138</v>
      </c>
      <c r="J965" s="16">
        <v>16.002509198119999</v>
      </c>
      <c r="K965" s="16">
        <v>-96.645917890358007</v>
      </c>
      <c r="L965" s="16" t="str">
        <f>HYPERLINK("https://maps.google.com/?q=16.00250919812,-96.645917890358", "🔗 Ver Mapa")</f>
        <v>🔗 Ver Mapa</v>
      </c>
    </row>
    <row r="966" spans="1:12" ht="43.5" x14ac:dyDescent="0.35">
      <c r="A966" s="6" t="s">
        <v>1</v>
      </c>
      <c r="B966" s="6" t="s">
        <v>14</v>
      </c>
      <c r="C966" s="6" t="s">
        <v>475</v>
      </c>
      <c r="D966" s="11" t="s">
        <v>61</v>
      </c>
      <c r="E966" s="17" t="s">
        <v>75</v>
      </c>
      <c r="F966" s="17" t="s">
        <v>476</v>
      </c>
      <c r="G966" s="11" t="s">
        <v>477</v>
      </c>
      <c r="H966" s="11" t="s">
        <v>478</v>
      </c>
      <c r="I966" s="17" t="s">
        <v>138</v>
      </c>
      <c r="J966" s="17">
        <v>16.720918631128999</v>
      </c>
      <c r="K966" s="17">
        <v>-96.872606395516996</v>
      </c>
      <c r="L966" s="17" t="str">
        <f>HYPERLINK("https://maps.google.com/?q=16.720918631129,-96.872606395517", "🔗 Ver Mapa")</f>
        <v>🔗 Ver Mapa</v>
      </c>
    </row>
    <row r="967" spans="1:12" ht="58" x14ac:dyDescent="0.35">
      <c r="A967" s="5" t="s">
        <v>1</v>
      </c>
      <c r="B967" s="5" t="s">
        <v>14</v>
      </c>
      <c r="C967" s="5" t="s">
        <v>479</v>
      </c>
      <c r="D967" s="8" t="s">
        <v>61</v>
      </c>
      <c r="E967" s="16" t="s">
        <v>75</v>
      </c>
      <c r="F967" s="16" t="s">
        <v>476</v>
      </c>
      <c r="G967" s="8" t="s">
        <v>480</v>
      </c>
      <c r="H967" s="8" t="s">
        <v>481</v>
      </c>
      <c r="I967" s="16" t="s">
        <v>138</v>
      </c>
      <c r="J967" s="16">
        <v>16.895538071069002</v>
      </c>
      <c r="K967" s="16">
        <v>-96.740510792910996</v>
      </c>
      <c r="L967" s="16" t="str">
        <f>HYPERLINK("https://maps.google.com/?q=16.895538071069,-96.740510792911", "🔗 Ver Mapa")</f>
        <v>🔗 Ver Mapa</v>
      </c>
    </row>
    <row r="968" spans="1:12" ht="58" x14ac:dyDescent="0.35">
      <c r="A968" s="6" t="s">
        <v>1</v>
      </c>
      <c r="B968" s="6" t="s">
        <v>14</v>
      </c>
      <c r="C968" s="6" t="s">
        <v>482</v>
      </c>
      <c r="D968" s="11" t="s">
        <v>61</v>
      </c>
      <c r="E968" s="17" t="s">
        <v>77</v>
      </c>
      <c r="F968" s="17" t="s">
        <v>201</v>
      </c>
      <c r="G968" s="11" t="s">
        <v>483</v>
      </c>
      <c r="H968" s="11" t="s">
        <v>484</v>
      </c>
      <c r="I968" s="17" t="s">
        <v>138</v>
      </c>
      <c r="J968" s="17">
        <v>16.489601868264</v>
      </c>
      <c r="K968" s="17">
        <v>-95.159631108707003</v>
      </c>
      <c r="L968" s="17" t="str">
        <f>HYPERLINK("https://maps.google.com/?q=16.489601868264,-95.159631108707", "🔗 Ver Mapa")</f>
        <v>🔗 Ver Mapa</v>
      </c>
    </row>
    <row r="969" spans="1:12" ht="58" x14ac:dyDescent="0.35">
      <c r="A969" s="5" t="s">
        <v>1</v>
      </c>
      <c r="B969" s="5" t="s">
        <v>14</v>
      </c>
      <c r="C969" s="5" t="s">
        <v>485</v>
      </c>
      <c r="D969" s="8" t="s">
        <v>61</v>
      </c>
      <c r="E969" s="16" t="s">
        <v>74</v>
      </c>
      <c r="F969" s="16" t="s">
        <v>82</v>
      </c>
      <c r="G969" s="8" t="s">
        <v>257</v>
      </c>
      <c r="H969" s="8" t="s">
        <v>258</v>
      </c>
      <c r="I969" s="16" t="s">
        <v>138</v>
      </c>
      <c r="J969" s="16">
        <v>16.512044976839</v>
      </c>
      <c r="K969" s="16">
        <v>-98.343489160621999</v>
      </c>
      <c r="L969" s="16" t="str">
        <f>HYPERLINK("https://maps.google.com/?q=16.512044976839,-98.343489160622", "🔗 Ver Mapa")</f>
        <v>🔗 Ver Mapa</v>
      </c>
    </row>
    <row r="970" spans="1:12" ht="58" x14ac:dyDescent="0.35">
      <c r="A970" s="6" t="s">
        <v>1</v>
      </c>
      <c r="B970" s="6" t="s">
        <v>14</v>
      </c>
      <c r="C970" s="6" t="s">
        <v>486</v>
      </c>
      <c r="D970" s="11" t="s">
        <v>61</v>
      </c>
      <c r="E970" s="17" t="s">
        <v>164</v>
      </c>
      <c r="F970" s="17" t="s">
        <v>394</v>
      </c>
      <c r="G970" s="11" t="s">
        <v>487</v>
      </c>
      <c r="H970" s="11" t="s">
        <v>488</v>
      </c>
      <c r="I970" s="17" t="s">
        <v>138</v>
      </c>
      <c r="J970" s="17">
        <v>18.16406355154</v>
      </c>
      <c r="K970" s="17">
        <v>-96.875432089200004</v>
      </c>
      <c r="L970" s="17" t="str">
        <f>HYPERLINK("https://maps.google.com/?q=18.16406355154,-96.8754320892", "🔗 Ver Mapa")</f>
        <v>🔗 Ver Mapa</v>
      </c>
    </row>
    <row r="971" spans="1:12" ht="58" x14ac:dyDescent="0.35">
      <c r="A971" s="5" t="s">
        <v>1</v>
      </c>
      <c r="B971" s="5" t="s">
        <v>14</v>
      </c>
      <c r="C971" s="5" t="s">
        <v>489</v>
      </c>
      <c r="D971" s="8" t="s">
        <v>61</v>
      </c>
      <c r="E971" s="16" t="s">
        <v>74</v>
      </c>
      <c r="F971" s="16" t="s">
        <v>82</v>
      </c>
      <c r="G971" s="8" t="s">
        <v>490</v>
      </c>
      <c r="H971" s="8" t="s">
        <v>491</v>
      </c>
      <c r="I971" s="16" t="s">
        <v>138</v>
      </c>
      <c r="J971" s="16">
        <v>16.335379933544001</v>
      </c>
      <c r="K971" s="16">
        <v>-97.839825160741995</v>
      </c>
      <c r="L971" s="16" t="str">
        <f>HYPERLINK("https://maps.google.com/?q=16.335379933544,-97.839825160742", "🔗 Ver Mapa")</f>
        <v>🔗 Ver Mapa</v>
      </c>
    </row>
    <row r="972" spans="1:12" ht="58" x14ac:dyDescent="0.35">
      <c r="A972" s="6" t="s">
        <v>1</v>
      </c>
      <c r="B972" s="6" t="s">
        <v>14</v>
      </c>
      <c r="C972" s="6" t="s">
        <v>492</v>
      </c>
      <c r="D972" s="11" t="s">
        <v>61</v>
      </c>
      <c r="E972" s="17" t="s">
        <v>74</v>
      </c>
      <c r="F972" s="17" t="s">
        <v>82</v>
      </c>
      <c r="G972" s="11" t="s">
        <v>490</v>
      </c>
      <c r="H972" s="11" t="s">
        <v>491</v>
      </c>
      <c r="I972" s="17" t="s">
        <v>138</v>
      </c>
      <c r="J972" s="17">
        <v>16.338617477046999</v>
      </c>
      <c r="K972" s="17">
        <v>-97.835412424878996</v>
      </c>
      <c r="L972" s="17" t="str">
        <f>HYPERLINK("https://maps.google.com/?q=16.338617477047,-97.835412424879", "🔗 Ver Mapa")</f>
        <v>🔗 Ver Mapa</v>
      </c>
    </row>
    <row r="973" spans="1:12" ht="58" x14ac:dyDescent="0.35">
      <c r="A973" s="5" t="s">
        <v>1</v>
      </c>
      <c r="B973" s="5" t="s">
        <v>14</v>
      </c>
      <c r="C973" s="5" t="s">
        <v>493</v>
      </c>
      <c r="D973" s="8" t="s">
        <v>61</v>
      </c>
      <c r="E973" s="16" t="s">
        <v>79</v>
      </c>
      <c r="F973" s="16" t="s">
        <v>195</v>
      </c>
      <c r="G973" s="8" t="s">
        <v>409</v>
      </c>
      <c r="H973" s="8" t="s">
        <v>494</v>
      </c>
      <c r="I973" s="16" t="s">
        <v>138</v>
      </c>
      <c r="J973" s="16">
        <v>16.351486211411999</v>
      </c>
      <c r="K973" s="16">
        <v>-96.533516467835994</v>
      </c>
      <c r="L973" s="16" t="str">
        <f>HYPERLINK("https://maps.google.com/?q=16.351486211412,-96.533516467836", "🔗 Ver Mapa")</f>
        <v>🔗 Ver Mapa</v>
      </c>
    </row>
    <row r="974" spans="1:12" ht="58" x14ac:dyDescent="0.35">
      <c r="A974" s="6" t="s">
        <v>1</v>
      </c>
      <c r="B974" s="6" t="s">
        <v>14</v>
      </c>
      <c r="C974" s="6" t="s">
        <v>495</v>
      </c>
      <c r="D974" s="11" t="s">
        <v>61</v>
      </c>
      <c r="E974" s="17" t="s">
        <v>79</v>
      </c>
      <c r="F974" s="17" t="s">
        <v>195</v>
      </c>
      <c r="G974" s="11" t="s">
        <v>496</v>
      </c>
      <c r="H974" s="11" t="s">
        <v>497</v>
      </c>
      <c r="I974" s="17" t="s">
        <v>138</v>
      </c>
      <c r="J974" s="17">
        <v>16.271843117244</v>
      </c>
      <c r="K974" s="17">
        <v>-96.582778744558993</v>
      </c>
      <c r="L974" s="17" t="str">
        <f>HYPERLINK("https://maps.google.com/?q=16.271843117244,-96.582778744559", "🔗 Ver Mapa")</f>
        <v>🔗 Ver Mapa</v>
      </c>
    </row>
    <row r="975" spans="1:12" ht="43.5" x14ac:dyDescent="0.35">
      <c r="A975" s="5" t="s">
        <v>1</v>
      </c>
      <c r="B975" s="5" t="s">
        <v>14</v>
      </c>
      <c r="C975" s="5" t="s">
        <v>498</v>
      </c>
      <c r="D975" s="8" t="s">
        <v>61</v>
      </c>
      <c r="E975" s="16" t="s">
        <v>74</v>
      </c>
      <c r="F975" s="16" t="s">
        <v>453</v>
      </c>
      <c r="G975" s="8" t="s">
        <v>499</v>
      </c>
      <c r="H975" s="8" t="s">
        <v>500</v>
      </c>
      <c r="I975" s="16" t="s">
        <v>138</v>
      </c>
      <c r="J975" s="16">
        <v>16.095938028157001</v>
      </c>
      <c r="K975" s="16">
        <v>-97.063021332961995</v>
      </c>
      <c r="L975" s="16" t="str">
        <f>HYPERLINK("https://maps.google.com/?q=16.095938028157,-97.063021332962", "🔗 Ver Mapa")</f>
        <v>🔗 Ver Mapa</v>
      </c>
    </row>
    <row r="976" spans="1:12" ht="58" x14ac:dyDescent="0.35">
      <c r="A976" s="6" t="s">
        <v>1</v>
      </c>
      <c r="B976" s="6" t="s">
        <v>14</v>
      </c>
      <c r="C976" s="6" t="s">
        <v>501</v>
      </c>
      <c r="D976" s="11" t="s">
        <v>61</v>
      </c>
      <c r="E976" s="17" t="s">
        <v>73</v>
      </c>
      <c r="F976" s="17" t="s">
        <v>260</v>
      </c>
      <c r="G976" s="11" t="s">
        <v>261</v>
      </c>
      <c r="H976" s="11" t="s">
        <v>262</v>
      </c>
      <c r="I976" s="17" t="s">
        <v>138</v>
      </c>
      <c r="J976" s="17">
        <v>17.869066260155002</v>
      </c>
      <c r="K976" s="17">
        <v>-97.364435145951006</v>
      </c>
      <c r="L976" s="17" t="str">
        <f>HYPERLINK("https://maps.google.com/?q=17.869066260155,-97.364435145951", "🔗 Ver Mapa")</f>
        <v>🔗 Ver Mapa</v>
      </c>
    </row>
    <row r="977" spans="1:12" ht="58" x14ac:dyDescent="0.35">
      <c r="A977" s="5" t="s">
        <v>1</v>
      </c>
      <c r="B977" s="5" t="s">
        <v>14</v>
      </c>
      <c r="C977" s="5" t="s">
        <v>502</v>
      </c>
      <c r="D977" s="8" t="s">
        <v>61</v>
      </c>
      <c r="E977" s="16" t="s">
        <v>77</v>
      </c>
      <c r="F977" s="16" t="s">
        <v>201</v>
      </c>
      <c r="G977" s="8" t="s">
        <v>503</v>
      </c>
      <c r="H977" s="8" t="s">
        <v>504</v>
      </c>
      <c r="I977" s="16" t="s">
        <v>138</v>
      </c>
      <c r="J977" s="16">
        <v>16.246903088477001</v>
      </c>
      <c r="K977" s="16">
        <v>-95.147490393639998</v>
      </c>
      <c r="L977" s="16" t="str">
        <f>HYPERLINK("https://maps.google.com/?q=16.246903088477,-95.14749039364", "🔗 Ver Mapa")</f>
        <v>🔗 Ver Mapa</v>
      </c>
    </row>
    <row r="978" spans="1:12" ht="58" x14ac:dyDescent="0.35">
      <c r="A978" s="6" t="s">
        <v>1</v>
      </c>
      <c r="B978" s="6" t="s">
        <v>14</v>
      </c>
      <c r="C978" s="6" t="s">
        <v>505</v>
      </c>
      <c r="D978" s="11" t="s">
        <v>61</v>
      </c>
      <c r="E978" s="17" t="s">
        <v>77</v>
      </c>
      <c r="F978" s="17" t="s">
        <v>201</v>
      </c>
      <c r="G978" s="11" t="s">
        <v>503</v>
      </c>
      <c r="H978" s="11" t="s">
        <v>504</v>
      </c>
      <c r="I978" s="17" t="s">
        <v>138</v>
      </c>
      <c r="J978" s="17">
        <v>16.247691923259001</v>
      </c>
      <c r="K978" s="17">
        <v>-95.145557791268004</v>
      </c>
      <c r="L978" s="17" t="str">
        <f>HYPERLINK("https://maps.google.com/?q=16.247691923259,-95.145557791268", "🔗 Ver Mapa")</f>
        <v>🔗 Ver Mapa</v>
      </c>
    </row>
    <row r="979" spans="1:12" ht="58" x14ac:dyDescent="0.35">
      <c r="A979" s="5" t="s">
        <v>1</v>
      </c>
      <c r="B979" s="5" t="s">
        <v>14</v>
      </c>
      <c r="C979" s="5" t="s">
        <v>506</v>
      </c>
      <c r="D979" s="8" t="s">
        <v>61</v>
      </c>
      <c r="E979" s="16" t="s">
        <v>164</v>
      </c>
      <c r="F979" s="16" t="s">
        <v>165</v>
      </c>
      <c r="G979" s="8" t="s">
        <v>507</v>
      </c>
      <c r="H979" s="8" t="s">
        <v>508</v>
      </c>
      <c r="I979" s="16" t="s">
        <v>138</v>
      </c>
      <c r="J979" s="16">
        <v>17.894170284605</v>
      </c>
      <c r="K979" s="16">
        <v>-96.710545473107004</v>
      </c>
      <c r="L979" s="16" t="str">
        <f>HYPERLINK("https://maps.google.com/?q=17.894170284605,-96.710545473107", "🔗 Ver Mapa")</f>
        <v>🔗 Ver Mapa</v>
      </c>
    </row>
    <row r="980" spans="1:12" ht="43.5" x14ac:dyDescent="0.35">
      <c r="A980" s="6" t="s">
        <v>1</v>
      </c>
      <c r="B980" s="6" t="s">
        <v>14</v>
      </c>
      <c r="C980" s="6" t="s">
        <v>509</v>
      </c>
      <c r="D980" s="11" t="s">
        <v>61</v>
      </c>
      <c r="E980" s="17" t="s">
        <v>79</v>
      </c>
      <c r="F980" s="17" t="s">
        <v>195</v>
      </c>
      <c r="G980" s="11" t="s">
        <v>196</v>
      </c>
      <c r="H980" s="11" t="s">
        <v>197</v>
      </c>
      <c r="I980" s="17" t="s">
        <v>138</v>
      </c>
      <c r="J980" s="17">
        <v>16.322073345492999</v>
      </c>
      <c r="K980" s="17">
        <v>-96.672653990756999</v>
      </c>
      <c r="L980" s="17" t="str">
        <f>HYPERLINK("https://maps.google.com/?q=16.322073345493,-96.672653990757", "🔗 Ver Mapa")</f>
        <v>🔗 Ver Mapa</v>
      </c>
    </row>
    <row r="981" spans="1:12" ht="58" x14ac:dyDescent="0.35">
      <c r="A981" s="5" t="s">
        <v>1</v>
      </c>
      <c r="B981" s="5" t="s">
        <v>14</v>
      </c>
      <c r="C981" s="5" t="s">
        <v>510</v>
      </c>
      <c r="D981" s="8" t="s">
        <v>61</v>
      </c>
      <c r="E981" s="16" t="s">
        <v>73</v>
      </c>
      <c r="F981" s="16" t="s">
        <v>511</v>
      </c>
      <c r="G981" s="8" t="s">
        <v>512</v>
      </c>
      <c r="H981" s="8" t="s">
        <v>513</v>
      </c>
      <c r="I981" s="16" t="s">
        <v>138</v>
      </c>
      <c r="J981" s="16">
        <v>17.541377015186999</v>
      </c>
      <c r="K981" s="16">
        <v>-98.145414486533994</v>
      </c>
      <c r="L981" s="16" t="str">
        <f>HYPERLINK("https://maps.google.com/?q=17.541377015187,-98.145414486534", "🔗 Ver Mapa")</f>
        <v>🔗 Ver Mapa</v>
      </c>
    </row>
    <row r="982" spans="1:12" ht="43.5" x14ac:dyDescent="0.35">
      <c r="A982" s="6" t="s">
        <v>1</v>
      </c>
      <c r="B982" s="6" t="s">
        <v>14</v>
      </c>
      <c r="C982" s="6" t="s">
        <v>514</v>
      </c>
      <c r="D982" s="11" t="s">
        <v>61</v>
      </c>
      <c r="E982" s="17" t="s">
        <v>73</v>
      </c>
      <c r="F982" s="17" t="s">
        <v>260</v>
      </c>
      <c r="G982" s="11" t="s">
        <v>515</v>
      </c>
      <c r="H982" s="11" t="s">
        <v>516</v>
      </c>
      <c r="I982" s="17" t="s">
        <v>138</v>
      </c>
      <c r="J982" s="17">
        <v>17.643172549326</v>
      </c>
      <c r="K982" s="17">
        <v>-97.341999760969003</v>
      </c>
      <c r="L982" s="17" t="str">
        <f>HYPERLINK("https://maps.google.com/?q=17.643172549326,-97.341999760969", "🔗 Ver Mapa")</f>
        <v>🔗 Ver Mapa</v>
      </c>
    </row>
    <row r="983" spans="1:12" ht="58" x14ac:dyDescent="0.35">
      <c r="A983" s="5" t="s">
        <v>1</v>
      </c>
      <c r="B983" s="5" t="s">
        <v>14</v>
      </c>
      <c r="C983" s="5" t="s">
        <v>517</v>
      </c>
      <c r="D983" s="8" t="s">
        <v>61</v>
      </c>
      <c r="E983" s="16" t="s">
        <v>75</v>
      </c>
      <c r="F983" s="16" t="s">
        <v>84</v>
      </c>
      <c r="G983" s="8" t="s">
        <v>518</v>
      </c>
      <c r="H983" s="8" t="s">
        <v>519</v>
      </c>
      <c r="I983" s="16" t="s">
        <v>138</v>
      </c>
      <c r="J983" s="16">
        <v>16.958063750413</v>
      </c>
      <c r="K983" s="16">
        <v>-96.545168709346001</v>
      </c>
      <c r="L983" s="16" t="str">
        <f>HYPERLINK("https://maps.google.com/?q=16.958063750413,-96.545168709346", "🔗 Ver Mapa")</f>
        <v>🔗 Ver Mapa</v>
      </c>
    </row>
    <row r="984" spans="1:12" ht="43.5" x14ac:dyDescent="0.35">
      <c r="A984" s="6" t="s">
        <v>1</v>
      </c>
      <c r="B984" s="6" t="s">
        <v>14</v>
      </c>
      <c r="C984" s="6" t="s">
        <v>520</v>
      </c>
      <c r="D984" s="11" t="s">
        <v>61</v>
      </c>
      <c r="E984" s="17" t="s">
        <v>74</v>
      </c>
      <c r="F984" s="17" t="s">
        <v>453</v>
      </c>
      <c r="G984" s="11" t="s">
        <v>521</v>
      </c>
      <c r="H984" s="11" t="s">
        <v>522</v>
      </c>
      <c r="I984" s="17" t="s">
        <v>138</v>
      </c>
      <c r="J984" s="17">
        <v>16.374909276126999</v>
      </c>
      <c r="K984" s="17">
        <v>-97.283183314778</v>
      </c>
      <c r="L984" s="17" t="str">
        <f>HYPERLINK("https://maps.google.com/?q=16.374909276127,-97.283183314778", "🔗 Ver Mapa")</f>
        <v>🔗 Ver Mapa</v>
      </c>
    </row>
    <row r="985" spans="1:12" ht="43.5" x14ac:dyDescent="0.35">
      <c r="A985" s="5" t="s">
        <v>1</v>
      </c>
      <c r="B985" s="5" t="s">
        <v>14</v>
      </c>
      <c r="C985" s="5" t="s">
        <v>523</v>
      </c>
      <c r="D985" s="8" t="s">
        <v>61</v>
      </c>
      <c r="E985" s="16" t="s">
        <v>164</v>
      </c>
      <c r="F985" s="16" t="s">
        <v>394</v>
      </c>
      <c r="G985" s="8" t="s">
        <v>524</v>
      </c>
      <c r="H985" s="8" t="s">
        <v>525</v>
      </c>
      <c r="I985" s="16" t="s">
        <v>138</v>
      </c>
      <c r="J985" s="16">
        <v>18.041597219301</v>
      </c>
      <c r="K985" s="16">
        <v>-96.756195461649995</v>
      </c>
      <c r="L985" s="16" t="str">
        <f>HYPERLINK("https://maps.google.com/?q=18.041597219301,-96.75619546165", "🔗 Ver Mapa")</f>
        <v>🔗 Ver Mapa</v>
      </c>
    </row>
    <row r="986" spans="1:12" ht="58" x14ac:dyDescent="0.35">
      <c r="A986" s="6" t="s">
        <v>1</v>
      </c>
      <c r="B986" s="6" t="s">
        <v>14</v>
      </c>
      <c r="C986" s="6" t="s">
        <v>526</v>
      </c>
      <c r="D986" s="11" t="s">
        <v>61</v>
      </c>
      <c r="E986" s="17" t="s">
        <v>73</v>
      </c>
      <c r="F986" s="17" t="s">
        <v>511</v>
      </c>
      <c r="G986" s="11" t="s">
        <v>527</v>
      </c>
      <c r="H986" s="11" t="s">
        <v>528</v>
      </c>
      <c r="I986" s="17" t="s">
        <v>138</v>
      </c>
      <c r="J986" s="17">
        <v>17.613766741277999</v>
      </c>
      <c r="K986" s="17">
        <v>-98.009164184560007</v>
      </c>
      <c r="L986" s="17" t="str">
        <f>HYPERLINK("https://maps.google.com/?q=17.613766741278,-98.00916418456", "🔗 Ver Mapa")</f>
        <v>🔗 Ver Mapa</v>
      </c>
    </row>
    <row r="987" spans="1:12" ht="58" x14ac:dyDescent="0.35">
      <c r="A987" s="5" t="s">
        <v>1</v>
      </c>
      <c r="B987" s="5" t="s">
        <v>14</v>
      </c>
      <c r="C987" s="5" t="s">
        <v>529</v>
      </c>
      <c r="D987" s="8" t="s">
        <v>61</v>
      </c>
      <c r="E987" s="16" t="s">
        <v>78</v>
      </c>
      <c r="F987" s="16" t="s">
        <v>90</v>
      </c>
      <c r="G987" s="8" t="s">
        <v>530</v>
      </c>
      <c r="H987" s="8" t="s">
        <v>531</v>
      </c>
      <c r="I987" s="16" t="s">
        <v>138</v>
      </c>
      <c r="J987" s="16">
        <v>17.353235728123</v>
      </c>
      <c r="K987" s="16">
        <v>-95.419003622654998</v>
      </c>
      <c r="L987" s="16" t="str">
        <f>HYPERLINK("https://maps.google.com/?q=17.353235728123,-95.419003622655", "🔗 Ver Mapa")</f>
        <v>🔗 Ver Mapa</v>
      </c>
    </row>
    <row r="988" spans="1:12" ht="58" x14ac:dyDescent="0.35">
      <c r="A988" s="6" t="s">
        <v>1</v>
      </c>
      <c r="B988" s="6" t="s">
        <v>14</v>
      </c>
      <c r="C988" s="6" t="s">
        <v>532</v>
      </c>
      <c r="D988" s="11" t="s">
        <v>61</v>
      </c>
      <c r="E988" s="17" t="s">
        <v>75</v>
      </c>
      <c r="F988" s="17" t="s">
        <v>84</v>
      </c>
      <c r="G988" s="11" t="s">
        <v>100</v>
      </c>
      <c r="H988" s="11" t="s">
        <v>122</v>
      </c>
      <c r="I988" s="17" t="s">
        <v>138</v>
      </c>
      <c r="J988" s="17">
        <v>16.985615603587</v>
      </c>
      <c r="K988" s="17">
        <v>-96.471100362266</v>
      </c>
      <c r="L988" s="17" t="str">
        <f>HYPERLINK("https://maps.google.com/?q=16.985615603587,-96.471100362266", "🔗 Ver Mapa")</f>
        <v>🔗 Ver Mapa</v>
      </c>
    </row>
    <row r="989" spans="1:12" ht="72.5" x14ac:dyDescent="0.35">
      <c r="A989" s="5" t="s">
        <v>1</v>
      </c>
      <c r="B989" s="5" t="s">
        <v>14</v>
      </c>
      <c r="C989" s="5" t="s">
        <v>533</v>
      </c>
      <c r="D989" s="8" t="s">
        <v>61</v>
      </c>
      <c r="E989" s="16" t="s">
        <v>74</v>
      </c>
      <c r="F989" s="16" t="s">
        <v>89</v>
      </c>
      <c r="G989" s="8" t="s">
        <v>534</v>
      </c>
      <c r="H989" s="8" t="s">
        <v>535</v>
      </c>
      <c r="I989" s="16" t="s">
        <v>138</v>
      </c>
      <c r="J989" s="16">
        <v>15.834051910187</v>
      </c>
      <c r="K989" s="16">
        <v>-96.638732850479002</v>
      </c>
      <c r="L989" s="16" t="str">
        <f>HYPERLINK("https://maps.google.com/?q=15.834051910187,-96.638732850479", "🔗 Ver Mapa")</f>
        <v>🔗 Ver Mapa</v>
      </c>
    </row>
    <row r="990" spans="1:12" ht="43.5" x14ac:dyDescent="0.35">
      <c r="A990" s="6" t="s">
        <v>3</v>
      </c>
      <c r="B990" s="6" t="s">
        <v>16</v>
      </c>
      <c r="C990" s="6" t="s">
        <v>536</v>
      </c>
      <c r="D990" s="11" t="s">
        <v>63</v>
      </c>
      <c r="E990" s="17" t="s">
        <v>75</v>
      </c>
      <c r="F990" s="17" t="s">
        <v>86</v>
      </c>
      <c r="G990" s="11" t="s">
        <v>103</v>
      </c>
      <c r="H990" s="11" t="s">
        <v>125</v>
      </c>
      <c r="I990" s="17" t="s">
        <v>138</v>
      </c>
      <c r="J990" s="17">
        <v>17.078199999999999</v>
      </c>
      <c r="K990" s="17">
        <v>-96.711309999999997</v>
      </c>
      <c r="L990" s="17" t="str">
        <f>HYPERLINK("https://maps.google.com/?q=17.0782,-96.71131", "🔗 Ver Mapa")</f>
        <v>🔗 Ver Mapa</v>
      </c>
    </row>
    <row r="991" spans="1:12" ht="43.5" x14ac:dyDescent="0.35">
      <c r="A991" s="5" t="s">
        <v>7</v>
      </c>
      <c r="B991" s="5" t="s">
        <v>20</v>
      </c>
      <c r="C991" s="5" t="s">
        <v>537</v>
      </c>
      <c r="D991" s="8" t="s">
        <v>67</v>
      </c>
      <c r="E991" s="16" t="s">
        <v>74</v>
      </c>
      <c r="F991" s="16" t="s">
        <v>453</v>
      </c>
      <c r="G991" s="8" t="s">
        <v>521</v>
      </c>
      <c r="H991" s="8" t="s">
        <v>538</v>
      </c>
      <c r="I991" s="16" t="s">
        <v>138</v>
      </c>
      <c r="J991" s="16">
        <v>16.092403000000001</v>
      </c>
      <c r="K991" s="16">
        <v>-97.257936000000001</v>
      </c>
      <c r="L991" s="16" t="str">
        <f>HYPERLINK("https://maps.google.com/?q=16.092403,-97.257936", "🔗 Ver Mapa")</f>
        <v>🔗 Ver Mapa</v>
      </c>
    </row>
    <row r="992" spans="1:12" ht="43.5" x14ac:dyDescent="0.35">
      <c r="A992" s="6" t="s">
        <v>7</v>
      </c>
      <c r="B992" s="6" t="s">
        <v>20</v>
      </c>
      <c r="C992" s="6" t="s">
        <v>537</v>
      </c>
      <c r="D992" s="11" t="s">
        <v>67</v>
      </c>
      <c r="E992" s="17" t="s">
        <v>74</v>
      </c>
      <c r="F992" s="17" t="s">
        <v>453</v>
      </c>
      <c r="G992" s="11" t="s">
        <v>521</v>
      </c>
      <c r="H992" s="11" t="s">
        <v>538</v>
      </c>
      <c r="I992" s="17" t="s">
        <v>138</v>
      </c>
      <c r="J992" s="17">
        <v>16.092777999999999</v>
      </c>
      <c r="K992" s="17">
        <v>-97.258230999999995</v>
      </c>
      <c r="L992" s="17" t="str">
        <f>HYPERLINK("https://maps.google.com/?q=16.092778,-97.258231", "🔗 Ver Mapa")</f>
        <v>🔗 Ver Mapa</v>
      </c>
    </row>
    <row r="993" spans="1:12" ht="43.5" x14ac:dyDescent="0.35">
      <c r="A993" s="5" t="s">
        <v>7</v>
      </c>
      <c r="B993" s="5" t="s">
        <v>20</v>
      </c>
      <c r="C993" s="5" t="s">
        <v>537</v>
      </c>
      <c r="D993" s="8" t="s">
        <v>67</v>
      </c>
      <c r="E993" s="16" t="s">
        <v>74</v>
      </c>
      <c r="F993" s="16" t="s">
        <v>453</v>
      </c>
      <c r="G993" s="8" t="s">
        <v>521</v>
      </c>
      <c r="H993" s="8" t="s">
        <v>538</v>
      </c>
      <c r="I993" s="16" t="s">
        <v>138</v>
      </c>
      <c r="J993" s="16">
        <v>16.093167000000001</v>
      </c>
      <c r="K993" s="16">
        <v>-97.258469000000005</v>
      </c>
      <c r="L993" s="16" t="str">
        <f>HYPERLINK("https://maps.google.com/?q=16.093167,-97.258469", "🔗 Ver Mapa")</f>
        <v>🔗 Ver Mapa</v>
      </c>
    </row>
    <row r="994" spans="1:12" ht="43.5" x14ac:dyDescent="0.35">
      <c r="A994" s="6" t="s">
        <v>7</v>
      </c>
      <c r="B994" s="6" t="s">
        <v>20</v>
      </c>
      <c r="C994" s="6" t="s">
        <v>539</v>
      </c>
      <c r="D994" s="11" t="s">
        <v>219</v>
      </c>
      <c r="E994" s="17" t="s">
        <v>73</v>
      </c>
      <c r="F994" s="17" t="s">
        <v>187</v>
      </c>
      <c r="G994" s="11" t="s">
        <v>540</v>
      </c>
      <c r="H994" s="11" t="s">
        <v>541</v>
      </c>
      <c r="I994" s="17" t="s">
        <v>138</v>
      </c>
      <c r="J994" s="17">
        <v>17.089696</v>
      </c>
      <c r="K994" s="17">
        <v>-97.114384999999999</v>
      </c>
      <c r="L994" s="17" t="str">
        <f>HYPERLINK("https://maps.google.com/?q=17.089696,-97.114385", "🔗 Ver Mapa")</f>
        <v>🔗 Ver Mapa</v>
      </c>
    </row>
    <row r="995" spans="1:12" ht="43.5" x14ac:dyDescent="0.35">
      <c r="A995" s="5" t="s">
        <v>7</v>
      </c>
      <c r="B995" s="5" t="s">
        <v>20</v>
      </c>
      <c r="C995" s="5" t="s">
        <v>539</v>
      </c>
      <c r="D995" s="8" t="s">
        <v>219</v>
      </c>
      <c r="E995" s="16" t="s">
        <v>73</v>
      </c>
      <c r="F995" s="16" t="s">
        <v>187</v>
      </c>
      <c r="G995" s="8" t="s">
        <v>540</v>
      </c>
      <c r="H995" s="8" t="s">
        <v>541</v>
      </c>
      <c r="I995" s="16" t="s">
        <v>138</v>
      </c>
      <c r="J995" s="16">
        <v>17.091118000000002</v>
      </c>
      <c r="K995" s="16">
        <v>-97.115542000000005</v>
      </c>
      <c r="L995" s="16" t="str">
        <f>HYPERLINK("https://maps.google.com/?q=17.091118,-97.115542", "🔗 Ver Mapa")</f>
        <v>🔗 Ver Mapa</v>
      </c>
    </row>
    <row r="996" spans="1:12" ht="43.5" x14ac:dyDescent="0.35">
      <c r="A996" s="6" t="s">
        <v>7</v>
      </c>
      <c r="B996" s="6" t="s">
        <v>20</v>
      </c>
      <c r="C996" s="6" t="s">
        <v>539</v>
      </c>
      <c r="D996" s="11" t="s">
        <v>219</v>
      </c>
      <c r="E996" s="17" t="s">
        <v>73</v>
      </c>
      <c r="F996" s="17" t="s">
        <v>187</v>
      </c>
      <c r="G996" s="11" t="s">
        <v>540</v>
      </c>
      <c r="H996" s="11" t="s">
        <v>541</v>
      </c>
      <c r="I996" s="17" t="s">
        <v>138</v>
      </c>
      <c r="J996" s="17">
        <v>17.091748551437998</v>
      </c>
      <c r="K996" s="17">
        <v>-97.116141291996001</v>
      </c>
      <c r="L996" s="17" t="str">
        <f>HYPERLINK("https://maps.google.com/?q=17.091748551438,-97.116141291996", "🔗 Ver Mapa")</f>
        <v>🔗 Ver Mapa</v>
      </c>
    </row>
    <row r="997" spans="1:12" ht="43.5" x14ac:dyDescent="0.35">
      <c r="A997" s="5" t="s">
        <v>7</v>
      </c>
      <c r="B997" s="5" t="s">
        <v>20</v>
      </c>
      <c r="C997" s="5" t="s">
        <v>539</v>
      </c>
      <c r="D997" s="8" t="s">
        <v>219</v>
      </c>
      <c r="E997" s="16" t="s">
        <v>73</v>
      </c>
      <c r="F997" s="16" t="s">
        <v>187</v>
      </c>
      <c r="G997" s="8" t="s">
        <v>540</v>
      </c>
      <c r="H997" s="8" t="s">
        <v>541</v>
      </c>
      <c r="I997" s="16" t="s">
        <v>138</v>
      </c>
      <c r="J997" s="16">
        <v>17.092027999999999</v>
      </c>
      <c r="K997" s="16">
        <v>-97.116320999999999</v>
      </c>
      <c r="L997" s="16" t="str">
        <f>HYPERLINK("https://maps.google.com/?q=17.092028,-97.116321", "🔗 Ver Mapa")</f>
        <v>🔗 Ver Mapa</v>
      </c>
    </row>
    <row r="998" spans="1:12" ht="43.5" x14ac:dyDescent="0.35">
      <c r="A998" s="6" t="s">
        <v>7</v>
      </c>
      <c r="B998" s="6" t="s">
        <v>20</v>
      </c>
      <c r="C998" s="6" t="s">
        <v>539</v>
      </c>
      <c r="D998" s="11" t="s">
        <v>219</v>
      </c>
      <c r="E998" s="17" t="s">
        <v>73</v>
      </c>
      <c r="F998" s="17" t="s">
        <v>187</v>
      </c>
      <c r="G998" s="11" t="s">
        <v>540</v>
      </c>
      <c r="H998" s="11" t="s">
        <v>541</v>
      </c>
      <c r="I998" s="17" t="s">
        <v>138</v>
      </c>
      <c r="J998" s="17">
        <v>17.096698</v>
      </c>
      <c r="K998" s="17">
        <v>-97.108828000000003</v>
      </c>
      <c r="L998" s="17" t="str">
        <f>HYPERLINK("https://maps.google.com/?q=17.096698,-97.108828", "🔗 Ver Mapa")</f>
        <v>🔗 Ver Mapa</v>
      </c>
    </row>
    <row r="999" spans="1:12" ht="43.5" x14ac:dyDescent="0.35">
      <c r="A999" s="5" t="s">
        <v>7</v>
      </c>
      <c r="B999" s="5" t="s">
        <v>20</v>
      </c>
      <c r="C999" s="5" t="s">
        <v>539</v>
      </c>
      <c r="D999" s="8" t="s">
        <v>219</v>
      </c>
      <c r="E999" s="16" t="s">
        <v>73</v>
      </c>
      <c r="F999" s="16" t="s">
        <v>187</v>
      </c>
      <c r="G999" s="8" t="s">
        <v>540</v>
      </c>
      <c r="H999" s="8" t="s">
        <v>541</v>
      </c>
      <c r="I999" s="16" t="s">
        <v>138</v>
      </c>
      <c r="J999" s="16">
        <v>17.099233000000002</v>
      </c>
      <c r="K999" s="16">
        <v>-97.107082000000005</v>
      </c>
      <c r="L999" s="16" t="str">
        <f>HYPERLINK("https://maps.google.com/?q=17.099233,-97.107082", "🔗 Ver Mapa")</f>
        <v>🔗 Ver Mapa</v>
      </c>
    </row>
    <row r="1000" spans="1:12" ht="43.5" x14ac:dyDescent="0.35">
      <c r="A1000" s="6" t="s">
        <v>7</v>
      </c>
      <c r="B1000" s="6" t="s">
        <v>20</v>
      </c>
      <c r="C1000" s="6" t="s">
        <v>542</v>
      </c>
      <c r="D1000" s="11" t="s">
        <v>219</v>
      </c>
      <c r="E1000" s="17" t="s">
        <v>73</v>
      </c>
      <c r="F1000" s="17" t="s">
        <v>81</v>
      </c>
      <c r="G1000" s="11" t="s">
        <v>543</v>
      </c>
      <c r="H1000" s="11" t="s">
        <v>544</v>
      </c>
      <c r="I1000" s="17" t="s">
        <v>138</v>
      </c>
      <c r="J1000" s="17"/>
      <c r="K1000" s="17">
        <v>-97.358497</v>
      </c>
      <c r="L1000" s="17" t="e">
        <f>HYPERLINK("", "🔗 Ver Mapa")</f>
        <v>#REF!</v>
      </c>
    </row>
    <row r="1001" spans="1:12" ht="43.5" x14ac:dyDescent="0.35">
      <c r="A1001" s="5" t="s">
        <v>7</v>
      </c>
      <c r="B1001" s="5" t="s">
        <v>20</v>
      </c>
      <c r="C1001" s="5" t="s">
        <v>542</v>
      </c>
      <c r="D1001" s="8" t="s">
        <v>219</v>
      </c>
      <c r="E1001" s="16" t="s">
        <v>73</v>
      </c>
      <c r="F1001" s="16" t="s">
        <v>81</v>
      </c>
      <c r="G1001" s="8" t="s">
        <v>543</v>
      </c>
      <c r="H1001" s="8" t="s">
        <v>544</v>
      </c>
      <c r="I1001" s="16" t="s">
        <v>138</v>
      </c>
      <c r="J1001" s="16">
        <v>17.461580000000001</v>
      </c>
      <c r="K1001" s="16">
        <v>-97.348613999999998</v>
      </c>
      <c r="L1001" s="16" t="str">
        <f>HYPERLINK("https://maps.google.com/?q=17.46158,-97.348614", "🔗 Ver Mapa")</f>
        <v>🔗 Ver Mapa</v>
      </c>
    </row>
    <row r="1002" spans="1:12" ht="43.5" x14ac:dyDescent="0.35">
      <c r="A1002" s="6" t="s">
        <v>7</v>
      </c>
      <c r="B1002" s="6" t="s">
        <v>20</v>
      </c>
      <c r="C1002" s="6" t="s">
        <v>542</v>
      </c>
      <c r="D1002" s="11" t="s">
        <v>219</v>
      </c>
      <c r="E1002" s="17" t="s">
        <v>73</v>
      </c>
      <c r="F1002" s="17" t="s">
        <v>81</v>
      </c>
      <c r="G1002" s="11" t="s">
        <v>543</v>
      </c>
      <c r="H1002" s="11" t="s">
        <v>544</v>
      </c>
      <c r="I1002" s="17" t="s">
        <v>138</v>
      </c>
      <c r="J1002" s="17">
        <v>17.461988000000002</v>
      </c>
      <c r="K1002" s="17">
        <v>-97.348685000000003</v>
      </c>
      <c r="L1002" s="17" t="str">
        <f>HYPERLINK("https://maps.google.com/?q=17.461988,-97.348685", "🔗 Ver Mapa")</f>
        <v>🔗 Ver Mapa</v>
      </c>
    </row>
    <row r="1003" spans="1:12" ht="43.5" x14ac:dyDescent="0.35">
      <c r="A1003" s="5" t="s">
        <v>7</v>
      </c>
      <c r="B1003" s="5" t="s">
        <v>20</v>
      </c>
      <c r="C1003" s="5" t="s">
        <v>542</v>
      </c>
      <c r="D1003" s="8" t="s">
        <v>219</v>
      </c>
      <c r="E1003" s="16" t="s">
        <v>73</v>
      </c>
      <c r="F1003" s="16" t="s">
        <v>81</v>
      </c>
      <c r="G1003" s="8" t="s">
        <v>543</v>
      </c>
      <c r="H1003" s="8" t="s">
        <v>544</v>
      </c>
      <c r="I1003" s="16" t="s">
        <v>138</v>
      </c>
      <c r="J1003" s="16">
        <v>17.462361000000001</v>
      </c>
      <c r="K1003" s="16">
        <v>-97.349057999999999</v>
      </c>
      <c r="L1003" s="16" t="str">
        <f>HYPERLINK("https://maps.google.com/?q=17.462361,-97.349058", "🔗 Ver Mapa")</f>
        <v>🔗 Ver Mapa</v>
      </c>
    </row>
    <row r="1004" spans="1:12" ht="43.5" x14ac:dyDescent="0.35">
      <c r="A1004" s="6" t="s">
        <v>7</v>
      </c>
      <c r="B1004" s="6" t="s">
        <v>20</v>
      </c>
      <c r="C1004" s="6" t="s">
        <v>542</v>
      </c>
      <c r="D1004" s="11" t="s">
        <v>219</v>
      </c>
      <c r="E1004" s="17" t="s">
        <v>73</v>
      </c>
      <c r="F1004" s="17" t="s">
        <v>81</v>
      </c>
      <c r="G1004" s="11" t="s">
        <v>543</v>
      </c>
      <c r="H1004" s="11" t="s">
        <v>544</v>
      </c>
      <c r="I1004" s="17" t="s">
        <v>138</v>
      </c>
      <c r="J1004" s="17">
        <v>17.462921999999999</v>
      </c>
      <c r="K1004" s="17">
        <v>-97.349129000000005</v>
      </c>
      <c r="L1004" s="17" t="str">
        <f>HYPERLINK("https://maps.google.com/?q=17.462922,-97.349129", "🔗 Ver Mapa")</f>
        <v>🔗 Ver Mapa</v>
      </c>
    </row>
    <row r="1005" spans="1:12" ht="43.5" x14ac:dyDescent="0.35">
      <c r="A1005" s="5" t="s">
        <v>7</v>
      </c>
      <c r="B1005" s="5" t="s">
        <v>20</v>
      </c>
      <c r="C1005" s="5" t="s">
        <v>542</v>
      </c>
      <c r="D1005" s="8" t="s">
        <v>219</v>
      </c>
      <c r="E1005" s="16" t="s">
        <v>73</v>
      </c>
      <c r="F1005" s="16" t="s">
        <v>81</v>
      </c>
      <c r="G1005" s="8" t="s">
        <v>543</v>
      </c>
      <c r="H1005" s="8" t="s">
        <v>544</v>
      </c>
      <c r="I1005" s="16" t="s">
        <v>138</v>
      </c>
      <c r="J1005" s="16">
        <v>17.463518000000001</v>
      </c>
      <c r="K1005" s="16">
        <v>-97.343643999999998</v>
      </c>
      <c r="L1005" s="16" t="str">
        <f>HYPERLINK("https://maps.google.com/?q=17.463518,-97.343644", "🔗 Ver Mapa")</f>
        <v>🔗 Ver Mapa</v>
      </c>
    </row>
    <row r="1006" spans="1:12" ht="43.5" x14ac:dyDescent="0.35">
      <c r="A1006" s="6" t="s">
        <v>7</v>
      </c>
      <c r="B1006" s="6" t="s">
        <v>20</v>
      </c>
      <c r="C1006" s="6" t="s">
        <v>542</v>
      </c>
      <c r="D1006" s="11" t="s">
        <v>219</v>
      </c>
      <c r="E1006" s="17" t="s">
        <v>73</v>
      </c>
      <c r="F1006" s="17" t="s">
        <v>81</v>
      </c>
      <c r="G1006" s="11" t="s">
        <v>543</v>
      </c>
      <c r="H1006" s="11" t="s">
        <v>544</v>
      </c>
      <c r="I1006" s="17" t="s">
        <v>138</v>
      </c>
      <c r="J1006" s="17">
        <v>17.463545</v>
      </c>
      <c r="K1006" s="17">
        <v>-97.349114</v>
      </c>
      <c r="L1006" s="17" t="str">
        <f>HYPERLINK("https://maps.google.com/?q=17.463545,-97.349114", "🔗 Ver Mapa")</f>
        <v>🔗 Ver Mapa</v>
      </c>
    </row>
    <row r="1007" spans="1:12" ht="43.5" x14ac:dyDescent="0.35">
      <c r="A1007" s="5" t="s">
        <v>7</v>
      </c>
      <c r="B1007" s="5" t="s">
        <v>20</v>
      </c>
      <c r="C1007" s="5" t="s">
        <v>542</v>
      </c>
      <c r="D1007" s="8" t="s">
        <v>219</v>
      </c>
      <c r="E1007" s="16" t="s">
        <v>73</v>
      </c>
      <c r="F1007" s="16" t="s">
        <v>81</v>
      </c>
      <c r="G1007" s="8" t="s">
        <v>543</v>
      </c>
      <c r="H1007" s="8" t="s">
        <v>544</v>
      </c>
      <c r="I1007" s="16" t="s">
        <v>138</v>
      </c>
      <c r="J1007" s="16">
        <v>17.463674000000001</v>
      </c>
      <c r="K1007" s="16">
        <v>-97.342822999999996</v>
      </c>
      <c r="L1007" s="16" t="str">
        <f>HYPERLINK("https://maps.google.com/?q=17.463674,-97.342823", "🔗 Ver Mapa")</f>
        <v>🔗 Ver Mapa</v>
      </c>
    </row>
    <row r="1008" spans="1:12" ht="43.5" x14ac:dyDescent="0.35">
      <c r="A1008" s="6" t="s">
        <v>7</v>
      </c>
      <c r="B1008" s="6" t="s">
        <v>20</v>
      </c>
      <c r="C1008" s="6" t="s">
        <v>542</v>
      </c>
      <c r="D1008" s="11" t="s">
        <v>219</v>
      </c>
      <c r="E1008" s="17" t="s">
        <v>73</v>
      </c>
      <c r="F1008" s="17" t="s">
        <v>81</v>
      </c>
      <c r="G1008" s="11" t="s">
        <v>543</v>
      </c>
      <c r="H1008" s="11" t="s">
        <v>544</v>
      </c>
      <c r="I1008" s="17" t="s">
        <v>138</v>
      </c>
      <c r="J1008" s="17">
        <v>17.463705000000001</v>
      </c>
      <c r="K1008" s="17">
        <v>-97.343283999999997</v>
      </c>
      <c r="L1008" s="17" t="str">
        <f>HYPERLINK("https://maps.google.com/?q=17.463705,-97.343284", "🔗 Ver Mapa")</f>
        <v>🔗 Ver Mapa</v>
      </c>
    </row>
    <row r="1009" spans="1:12" ht="43.5" x14ac:dyDescent="0.35">
      <c r="A1009" s="5" t="s">
        <v>7</v>
      </c>
      <c r="B1009" s="5" t="s">
        <v>20</v>
      </c>
      <c r="C1009" s="5" t="s">
        <v>542</v>
      </c>
      <c r="D1009" s="8" t="s">
        <v>219</v>
      </c>
      <c r="E1009" s="16" t="s">
        <v>73</v>
      </c>
      <c r="F1009" s="16" t="s">
        <v>81</v>
      </c>
      <c r="G1009" s="8" t="s">
        <v>543</v>
      </c>
      <c r="H1009" s="8" t="s">
        <v>544</v>
      </c>
      <c r="I1009" s="16" t="s">
        <v>138</v>
      </c>
      <c r="J1009" s="16">
        <v>17.463716999999999</v>
      </c>
      <c r="K1009" s="16">
        <v>-97.343614000000002</v>
      </c>
      <c r="L1009" s="16" t="str">
        <f>HYPERLINK("https://maps.google.com/?q=17.463717,-97.343614", "🔗 Ver Mapa")</f>
        <v>🔗 Ver Mapa</v>
      </c>
    </row>
    <row r="1010" spans="1:12" ht="43.5" x14ac:dyDescent="0.35">
      <c r="A1010" s="6" t="s">
        <v>7</v>
      </c>
      <c r="B1010" s="6" t="s">
        <v>20</v>
      </c>
      <c r="C1010" s="6" t="s">
        <v>542</v>
      </c>
      <c r="D1010" s="11" t="s">
        <v>219</v>
      </c>
      <c r="E1010" s="17" t="s">
        <v>73</v>
      </c>
      <c r="F1010" s="17" t="s">
        <v>81</v>
      </c>
      <c r="G1010" s="11" t="s">
        <v>543</v>
      </c>
      <c r="H1010" s="11" t="s">
        <v>544</v>
      </c>
      <c r="I1010" s="17" t="s">
        <v>138</v>
      </c>
      <c r="J1010" s="17">
        <v>17.463756</v>
      </c>
      <c r="K1010" s="17">
        <v>-97.344037</v>
      </c>
      <c r="L1010" s="17" t="str">
        <f>HYPERLINK("https://maps.google.com/?q=17.463756,-97.344037", "🔗 Ver Mapa")</f>
        <v>🔗 Ver Mapa</v>
      </c>
    </row>
    <row r="1011" spans="1:12" ht="43.5" x14ac:dyDescent="0.35">
      <c r="A1011" s="5" t="s">
        <v>7</v>
      </c>
      <c r="B1011" s="5" t="s">
        <v>20</v>
      </c>
      <c r="C1011" s="5" t="s">
        <v>542</v>
      </c>
      <c r="D1011" s="8" t="s">
        <v>219</v>
      </c>
      <c r="E1011" s="16" t="s">
        <v>73</v>
      </c>
      <c r="F1011" s="16" t="s">
        <v>81</v>
      </c>
      <c r="G1011" s="8" t="s">
        <v>543</v>
      </c>
      <c r="H1011" s="8" t="s">
        <v>544</v>
      </c>
      <c r="I1011" s="16" t="s">
        <v>138</v>
      </c>
      <c r="J1011" s="16">
        <v>17.464057</v>
      </c>
      <c r="K1011" s="16">
        <v>-97.343271999999999</v>
      </c>
      <c r="L1011" s="16" t="str">
        <f>HYPERLINK("https://maps.google.com/?q=17.464057,-97.343272", "🔗 Ver Mapa")</f>
        <v>🔗 Ver Mapa</v>
      </c>
    </row>
    <row r="1012" spans="1:12" ht="43.5" x14ac:dyDescent="0.35">
      <c r="A1012" s="6" t="s">
        <v>7</v>
      </c>
      <c r="B1012" s="6" t="s">
        <v>20</v>
      </c>
      <c r="C1012" s="6" t="s">
        <v>542</v>
      </c>
      <c r="D1012" s="11" t="s">
        <v>219</v>
      </c>
      <c r="E1012" s="17" t="s">
        <v>73</v>
      </c>
      <c r="F1012" s="17" t="s">
        <v>81</v>
      </c>
      <c r="G1012" s="11" t="s">
        <v>543</v>
      </c>
      <c r="H1012" s="11" t="s">
        <v>544</v>
      </c>
      <c r="I1012" s="17" t="s">
        <v>138</v>
      </c>
      <c r="J1012" s="17">
        <v>17.464141999999999</v>
      </c>
      <c r="K1012" s="17">
        <v>-97.349098999999995</v>
      </c>
      <c r="L1012" s="17" t="str">
        <f>HYPERLINK("https://maps.google.com/?q=17.464142,-97.349099", "🔗 Ver Mapa")</f>
        <v>🔗 Ver Mapa</v>
      </c>
    </row>
    <row r="1013" spans="1:12" ht="43.5" x14ac:dyDescent="0.35">
      <c r="A1013" s="5" t="s">
        <v>7</v>
      </c>
      <c r="B1013" s="5" t="s">
        <v>20</v>
      </c>
      <c r="C1013" s="5" t="s">
        <v>542</v>
      </c>
      <c r="D1013" s="8" t="s">
        <v>219</v>
      </c>
      <c r="E1013" s="16" t="s">
        <v>73</v>
      </c>
      <c r="F1013" s="16" t="s">
        <v>81</v>
      </c>
      <c r="G1013" s="8" t="s">
        <v>543</v>
      </c>
      <c r="H1013" s="8" t="s">
        <v>544</v>
      </c>
      <c r="I1013" s="16" t="s">
        <v>138</v>
      </c>
      <c r="J1013" s="16">
        <v>17.464452999999999</v>
      </c>
      <c r="K1013" s="16">
        <v>-97.349566999999993</v>
      </c>
      <c r="L1013" s="16" t="str">
        <f>HYPERLINK("https://maps.google.com/?q=17.464453,-97.349567", "🔗 Ver Mapa")</f>
        <v>🔗 Ver Mapa</v>
      </c>
    </row>
    <row r="1014" spans="1:12" ht="43.5" x14ac:dyDescent="0.35">
      <c r="A1014" s="6" t="s">
        <v>7</v>
      </c>
      <c r="B1014" s="6" t="s">
        <v>20</v>
      </c>
      <c r="C1014" s="6" t="s">
        <v>542</v>
      </c>
      <c r="D1014" s="11" t="s">
        <v>219</v>
      </c>
      <c r="E1014" s="17" t="s">
        <v>73</v>
      </c>
      <c r="F1014" s="17" t="s">
        <v>81</v>
      </c>
      <c r="G1014" s="11" t="s">
        <v>543</v>
      </c>
      <c r="H1014" s="11" t="s">
        <v>544</v>
      </c>
      <c r="I1014" s="17" t="s">
        <v>138</v>
      </c>
      <c r="J1014" s="17">
        <v>17.464718000000001</v>
      </c>
      <c r="K1014" s="17">
        <v>-97.349979000000005</v>
      </c>
      <c r="L1014" s="17" t="str">
        <f>HYPERLINK("https://maps.google.com/?q=17.464718,-97.349979", "🔗 Ver Mapa")</f>
        <v>🔗 Ver Mapa</v>
      </c>
    </row>
    <row r="1015" spans="1:12" ht="43.5" x14ac:dyDescent="0.35">
      <c r="A1015" s="5" t="s">
        <v>7</v>
      </c>
      <c r="B1015" s="5" t="s">
        <v>20</v>
      </c>
      <c r="C1015" s="5" t="s">
        <v>542</v>
      </c>
      <c r="D1015" s="8" t="s">
        <v>219</v>
      </c>
      <c r="E1015" s="16" t="s">
        <v>73</v>
      </c>
      <c r="F1015" s="16" t="s">
        <v>81</v>
      </c>
      <c r="G1015" s="8" t="s">
        <v>543</v>
      </c>
      <c r="H1015" s="8" t="s">
        <v>544</v>
      </c>
      <c r="I1015" s="16" t="s">
        <v>138</v>
      </c>
      <c r="J1015" s="16">
        <v>17.465040999999999</v>
      </c>
      <c r="K1015" s="16">
        <v>-97.349722</v>
      </c>
      <c r="L1015" s="16" t="str">
        <f>HYPERLINK("https://maps.google.com/?q=17.465041,-97.349722", "🔗 Ver Mapa")</f>
        <v>🔗 Ver Mapa</v>
      </c>
    </row>
    <row r="1016" spans="1:12" ht="43.5" x14ac:dyDescent="0.35">
      <c r="A1016" s="6" t="s">
        <v>7</v>
      </c>
      <c r="B1016" s="6" t="s">
        <v>20</v>
      </c>
      <c r="C1016" s="6" t="s">
        <v>542</v>
      </c>
      <c r="D1016" s="11" t="s">
        <v>219</v>
      </c>
      <c r="E1016" s="17" t="s">
        <v>73</v>
      </c>
      <c r="F1016" s="17" t="s">
        <v>81</v>
      </c>
      <c r="G1016" s="11" t="s">
        <v>543</v>
      </c>
      <c r="H1016" s="11" t="s">
        <v>544</v>
      </c>
      <c r="I1016" s="17" t="s">
        <v>138</v>
      </c>
      <c r="J1016" s="17">
        <v>17.465391</v>
      </c>
      <c r="K1016" s="17">
        <v>-97.349397999999994</v>
      </c>
      <c r="L1016" s="17" t="str">
        <f>HYPERLINK("https://maps.google.com/?q=17.465391,-97.349398", "🔗 Ver Mapa")</f>
        <v>🔗 Ver Mapa</v>
      </c>
    </row>
    <row r="1017" spans="1:12" ht="43.5" x14ac:dyDescent="0.35">
      <c r="A1017" s="5" t="s">
        <v>7</v>
      </c>
      <c r="B1017" s="5" t="s">
        <v>20</v>
      </c>
      <c r="C1017" s="5" t="s">
        <v>542</v>
      </c>
      <c r="D1017" s="8" t="s">
        <v>219</v>
      </c>
      <c r="E1017" s="16" t="s">
        <v>73</v>
      </c>
      <c r="F1017" s="16" t="s">
        <v>81</v>
      </c>
      <c r="G1017" s="8" t="s">
        <v>543</v>
      </c>
      <c r="H1017" s="8" t="s">
        <v>544</v>
      </c>
      <c r="I1017" s="16" t="s">
        <v>138</v>
      </c>
      <c r="J1017" s="16">
        <v>17.465406000000002</v>
      </c>
      <c r="K1017" s="16">
        <v>-97.348984000000002</v>
      </c>
      <c r="L1017" s="16" t="str">
        <f>HYPERLINK("https://maps.google.com/?q=17.465406,-97.348984", "🔗 Ver Mapa")</f>
        <v>🔗 Ver Mapa</v>
      </c>
    </row>
    <row r="1018" spans="1:12" ht="43.5" x14ac:dyDescent="0.35">
      <c r="A1018" s="6" t="s">
        <v>7</v>
      </c>
      <c r="B1018" s="6" t="s">
        <v>20</v>
      </c>
      <c r="C1018" s="6" t="s">
        <v>542</v>
      </c>
      <c r="D1018" s="11" t="s">
        <v>219</v>
      </c>
      <c r="E1018" s="17" t="s">
        <v>73</v>
      </c>
      <c r="F1018" s="17" t="s">
        <v>81</v>
      </c>
      <c r="G1018" s="11" t="s">
        <v>543</v>
      </c>
      <c r="H1018" s="11" t="s">
        <v>544</v>
      </c>
      <c r="I1018" s="17" t="s">
        <v>138</v>
      </c>
      <c r="J1018" s="17">
        <v>17.465420999999999</v>
      </c>
      <c r="K1018" s="17">
        <v>-97.348635000000002</v>
      </c>
      <c r="L1018" s="17" t="str">
        <f>HYPERLINK("https://maps.google.com/?q=17.465421,-97.348635", "🔗 Ver Mapa")</f>
        <v>🔗 Ver Mapa</v>
      </c>
    </row>
    <row r="1019" spans="1:12" ht="43.5" x14ac:dyDescent="0.35">
      <c r="A1019" s="5" t="s">
        <v>7</v>
      </c>
      <c r="B1019" s="5" t="s">
        <v>20</v>
      </c>
      <c r="C1019" s="5" t="s">
        <v>542</v>
      </c>
      <c r="D1019" s="8" t="s">
        <v>219</v>
      </c>
      <c r="E1019" s="16" t="s">
        <v>73</v>
      </c>
      <c r="F1019" s="16" t="s">
        <v>81</v>
      </c>
      <c r="G1019" s="8" t="s">
        <v>543</v>
      </c>
      <c r="H1019" s="8" t="s">
        <v>544</v>
      </c>
      <c r="I1019" s="16" t="s">
        <v>138</v>
      </c>
      <c r="J1019" s="16">
        <v>17.465437999999999</v>
      </c>
      <c r="K1019" s="16">
        <v>-97.349576999999996</v>
      </c>
      <c r="L1019" s="16" t="str">
        <f>HYPERLINK("https://maps.google.com/?q=17.465438,-97.349577", "🔗 Ver Mapa")</f>
        <v>🔗 Ver Mapa</v>
      </c>
    </row>
    <row r="1020" spans="1:12" ht="43.5" x14ac:dyDescent="0.35">
      <c r="A1020" s="6" t="s">
        <v>7</v>
      </c>
      <c r="B1020" s="6" t="s">
        <v>20</v>
      </c>
      <c r="C1020" s="6" t="s">
        <v>542</v>
      </c>
      <c r="D1020" s="11" t="s">
        <v>219</v>
      </c>
      <c r="E1020" s="17" t="s">
        <v>73</v>
      </c>
      <c r="F1020" s="17" t="s">
        <v>81</v>
      </c>
      <c r="G1020" s="11" t="s">
        <v>543</v>
      </c>
      <c r="H1020" s="11" t="s">
        <v>544</v>
      </c>
      <c r="I1020" s="17" t="s">
        <v>138</v>
      </c>
      <c r="J1020" s="17">
        <v>17.465907000000001</v>
      </c>
      <c r="K1020" s="17">
        <v>-97.349553999999998</v>
      </c>
      <c r="L1020" s="17" t="str">
        <f>HYPERLINK("https://maps.google.com/?q=17.465907,-97.349554", "🔗 Ver Mapa")</f>
        <v>🔗 Ver Mapa</v>
      </c>
    </row>
    <row r="1021" spans="1:12" ht="43.5" x14ac:dyDescent="0.35">
      <c r="A1021" s="5" t="s">
        <v>7</v>
      </c>
      <c r="B1021" s="5" t="s">
        <v>20</v>
      </c>
      <c r="C1021" s="5" t="s">
        <v>542</v>
      </c>
      <c r="D1021" s="8" t="s">
        <v>219</v>
      </c>
      <c r="E1021" s="16" t="s">
        <v>73</v>
      </c>
      <c r="F1021" s="16" t="s">
        <v>81</v>
      </c>
      <c r="G1021" s="8" t="s">
        <v>543</v>
      </c>
      <c r="H1021" s="8" t="s">
        <v>544</v>
      </c>
      <c r="I1021" s="16" t="s">
        <v>138</v>
      </c>
      <c r="J1021" s="16">
        <v>17.466062000000001</v>
      </c>
      <c r="K1021" s="16">
        <v>-97.348563999999996</v>
      </c>
      <c r="L1021" s="16" t="str">
        <f>HYPERLINK("https://maps.google.com/?q=17.466062,-97.348564", "🔗 Ver Mapa")</f>
        <v>🔗 Ver Mapa</v>
      </c>
    </row>
    <row r="1022" spans="1:12" ht="43.5" x14ac:dyDescent="0.35">
      <c r="A1022" s="6" t="s">
        <v>7</v>
      </c>
      <c r="B1022" s="6" t="s">
        <v>20</v>
      </c>
      <c r="C1022" s="6" t="s">
        <v>542</v>
      </c>
      <c r="D1022" s="11" t="s">
        <v>219</v>
      </c>
      <c r="E1022" s="17" t="s">
        <v>73</v>
      </c>
      <c r="F1022" s="17" t="s">
        <v>81</v>
      </c>
      <c r="G1022" s="11" t="s">
        <v>543</v>
      </c>
      <c r="H1022" s="11" t="s">
        <v>544</v>
      </c>
      <c r="I1022" s="17" t="s">
        <v>138</v>
      </c>
      <c r="J1022" s="17">
        <v>17.466128999999999</v>
      </c>
      <c r="K1022" s="17">
        <v>-97.359993000000003</v>
      </c>
      <c r="L1022" s="17" t="str">
        <f>HYPERLINK("https://maps.google.com/?q=17.466129,-97.359993", "🔗 Ver Mapa")</f>
        <v>🔗 Ver Mapa</v>
      </c>
    </row>
    <row r="1023" spans="1:12" ht="43.5" x14ac:dyDescent="0.35">
      <c r="A1023" s="5" t="s">
        <v>7</v>
      </c>
      <c r="B1023" s="5" t="s">
        <v>20</v>
      </c>
      <c r="C1023" s="5" t="s">
        <v>542</v>
      </c>
      <c r="D1023" s="8" t="s">
        <v>219</v>
      </c>
      <c r="E1023" s="16" t="s">
        <v>73</v>
      </c>
      <c r="F1023" s="16" t="s">
        <v>81</v>
      </c>
      <c r="G1023" s="8" t="s">
        <v>543</v>
      </c>
      <c r="H1023" s="8" t="s">
        <v>544</v>
      </c>
      <c r="I1023" s="16" t="s">
        <v>138</v>
      </c>
      <c r="J1023" s="16">
        <v>17.466577000000001</v>
      </c>
      <c r="K1023" s="16">
        <v>-97.348511999999999</v>
      </c>
      <c r="L1023" s="16" t="str">
        <f>HYPERLINK("https://maps.google.com/?q=17.466577,-97.348512", "🔗 Ver Mapa")</f>
        <v>🔗 Ver Mapa</v>
      </c>
    </row>
    <row r="1024" spans="1:12" ht="43.5" x14ac:dyDescent="0.35">
      <c r="A1024" s="6" t="s">
        <v>7</v>
      </c>
      <c r="B1024" s="6" t="s">
        <v>20</v>
      </c>
      <c r="C1024" s="6" t="s">
        <v>542</v>
      </c>
      <c r="D1024" s="11" t="s">
        <v>219</v>
      </c>
      <c r="E1024" s="17" t="s">
        <v>73</v>
      </c>
      <c r="F1024" s="17" t="s">
        <v>81</v>
      </c>
      <c r="G1024" s="11" t="s">
        <v>543</v>
      </c>
      <c r="H1024" s="11" t="s">
        <v>544</v>
      </c>
      <c r="I1024" s="17" t="s">
        <v>138</v>
      </c>
      <c r="J1024" s="17">
        <v>17.466661999999999</v>
      </c>
      <c r="K1024" s="17">
        <v>-97.359941000000006</v>
      </c>
      <c r="L1024" s="17" t="str">
        <f>HYPERLINK("https://maps.google.com/?q=17.466662,-97.359941", "🔗 Ver Mapa")</f>
        <v>🔗 Ver Mapa</v>
      </c>
    </row>
    <row r="1025" spans="1:12" ht="43.5" x14ac:dyDescent="0.35">
      <c r="A1025" s="5" t="s">
        <v>7</v>
      </c>
      <c r="B1025" s="5" t="s">
        <v>20</v>
      </c>
      <c r="C1025" s="5" t="s">
        <v>542</v>
      </c>
      <c r="D1025" s="8" t="s">
        <v>219</v>
      </c>
      <c r="E1025" s="16" t="s">
        <v>73</v>
      </c>
      <c r="F1025" s="16" t="s">
        <v>81</v>
      </c>
      <c r="G1025" s="8" t="s">
        <v>543</v>
      </c>
      <c r="H1025" s="8" t="s">
        <v>544</v>
      </c>
      <c r="I1025" s="16" t="s">
        <v>138</v>
      </c>
      <c r="J1025" s="16">
        <v>17.467086999999999</v>
      </c>
      <c r="K1025" s="16">
        <v>-97.358835999999997</v>
      </c>
      <c r="L1025" s="16" t="str">
        <f>HYPERLINK("https://maps.google.com/?q=17.467087,-97.358836", "🔗 Ver Mapa")</f>
        <v>🔗 Ver Mapa</v>
      </c>
    </row>
    <row r="1026" spans="1:12" ht="43.5" x14ac:dyDescent="0.35">
      <c r="A1026" s="6" t="s">
        <v>7</v>
      </c>
      <c r="B1026" s="6" t="s">
        <v>20</v>
      </c>
      <c r="C1026" s="6" t="s">
        <v>542</v>
      </c>
      <c r="D1026" s="11" t="s">
        <v>219</v>
      </c>
      <c r="E1026" s="17" t="s">
        <v>73</v>
      </c>
      <c r="F1026" s="17" t="s">
        <v>81</v>
      </c>
      <c r="G1026" s="11" t="s">
        <v>543</v>
      </c>
      <c r="H1026" s="11" t="s">
        <v>544</v>
      </c>
      <c r="I1026" s="17" t="s">
        <v>138</v>
      </c>
      <c r="J1026" s="17">
        <v>17.467099999999999</v>
      </c>
      <c r="K1026" s="17">
        <v>-97.348478999999998</v>
      </c>
      <c r="L1026" s="17" t="str">
        <f>HYPERLINK("https://maps.google.com/?q=17.4671,-97.348479", "🔗 Ver Mapa")</f>
        <v>🔗 Ver Mapa</v>
      </c>
    </row>
    <row r="1027" spans="1:12" ht="43.5" x14ac:dyDescent="0.35">
      <c r="A1027" s="5" t="s">
        <v>7</v>
      </c>
      <c r="B1027" s="5" t="s">
        <v>20</v>
      </c>
      <c r="C1027" s="5" t="s">
        <v>542</v>
      </c>
      <c r="D1027" s="8" t="s">
        <v>219</v>
      </c>
      <c r="E1027" s="16" t="s">
        <v>73</v>
      </c>
      <c r="F1027" s="16" t="s">
        <v>81</v>
      </c>
      <c r="G1027" s="8" t="s">
        <v>543</v>
      </c>
      <c r="H1027" s="8" t="s">
        <v>544</v>
      </c>
      <c r="I1027" s="16" t="s">
        <v>138</v>
      </c>
      <c r="J1027" s="16">
        <v>17.467117999999999</v>
      </c>
      <c r="K1027" s="16">
        <v>-97.359363000000002</v>
      </c>
      <c r="L1027" s="16" t="str">
        <f>HYPERLINK("https://maps.google.com/?q=17.467118,-97.359363", "🔗 Ver Mapa")</f>
        <v>🔗 Ver Mapa</v>
      </c>
    </row>
    <row r="1028" spans="1:12" ht="43.5" x14ac:dyDescent="0.35">
      <c r="A1028" s="6" t="s">
        <v>7</v>
      </c>
      <c r="B1028" s="6" t="s">
        <v>20</v>
      </c>
      <c r="C1028" s="6" t="s">
        <v>542</v>
      </c>
      <c r="D1028" s="11" t="s">
        <v>219</v>
      </c>
      <c r="E1028" s="17" t="s">
        <v>73</v>
      </c>
      <c r="F1028" s="17" t="s">
        <v>81</v>
      </c>
      <c r="G1028" s="11" t="s">
        <v>543</v>
      </c>
      <c r="H1028" s="11" t="s">
        <v>544</v>
      </c>
      <c r="I1028" s="17" t="s">
        <v>138</v>
      </c>
      <c r="J1028" s="17">
        <v>17.467177</v>
      </c>
      <c r="K1028" s="17">
        <v>-97.359870999999998</v>
      </c>
      <c r="L1028" s="17" t="str">
        <f>HYPERLINK("https://maps.google.com/?q=17.467177,-97.359871", "🔗 Ver Mapa")</f>
        <v>🔗 Ver Mapa</v>
      </c>
    </row>
    <row r="1029" spans="1:12" ht="43.5" x14ac:dyDescent="0.35">
      <c r="A1029" s="5" t="s">
        <v>7</v>
      </c>
      <c r="B1029" s="5" t="s">
        <v>20</v>
      </c>
      <c r="C1029" s="5" t="s">
        <v>542</v>
      </c>
      <c r="D1029" s="8" t="s">
        <v>219</v>
      </c>
      <c r="E1029" s="16" t="s">
        <v>73</v>
      </c>
      <c r="F1029" s="16" t="s">
        <v>81</v>
      </c>
      <c r="G1029" s="8" t="s">
        <v>543</v>
      </c>
      <c r="H1029" s="8" t="s">
        <v>544</v>
      </c>
      <c r="I1029" s="16" t="s">
        <v>138</v>
      </c>
      <c r="J1029" s="16">
        <v>17.467234999999999</v>
      </c>
      <c r="K1029" s="16">
        <v>-97.360416000000001</v>
      </c>
      <c r="L1029" s="16" t="str">
        <f>HYPERLINK("https://maps.google.com/?q=17.467235,-97.360416", "🔗 Ver Mapa")</f>
        <v>🔗 Ver Mapa</v>
      </c>
    </row>
    <row r="1030" spans="1:12" ht="43.5" x14ac:dyDescent="0.35">
      <c r="A1030" s="6" t="s">
        <v>7</v>
      </c>
      <c r="B1030" s="6" t="s">
        <v>20</v>
      </c>
      <c r="C1030" s="6" t="s">
        <v>542</v>
      </c>
      <c r="D1030" s="11" t="s">
        <v>219</v>
      </c>
      <c r="E1030" s="17" t="s">
        <v>73</v>
      </c>
      <c r="F1030" s="17" t="s">
        <v>81</v>
      </c>
      <c r="G1030" s="11" t="s">
        <v>543</v>
      </c>
      <c r="H1030" s="11" t="s">
        <v>544</v>
      </c>
      <c r="I1030" s="17" t="s">
        <v>138</v>
      </c>
      <c r="J1030" s="17">
        <v>17.467444</v>
      </c>
      <c r="K1030" s="17">
        <v>-97.358277000000001</v>
      </c>
      <c r="L1030" s="17" t="str">
        <f>HYPERLINK("https://maps.google.com/?q=17.467444,-97.358277", "🔗 Ver Mapa")</f>
        <v>🔗 Ver Mapa</v>
      </c>
    </row>
    <row r="1031" spans="1:12" ht="43.5" x14ac:dyDescent="0.35">
      <c r="A1031" s="5" t="s">
        <v>7</v>
      </c>
      <c r="B1031" s="5" t="s">
        <v>20</v>
      </c>
      <c r="C1031" s="5" t="s">
        <v>545</v>
      </c>
      <c r="D1031" s="8" t="s">
        <v>67</v>
      </c>
      <c r="E1031" s="16" t="s">
        <v>74</v>
      </c>
      <c r="F1031" s="16" t="s">
        <v>82</v>
      </c>
      <c r="G1031" s="8" t="s">
        <v>337</v>
      </c>
      <c r="H1031" s="8" t="s">
        <v>546</v>
      </c>
      <c r="I1031" s="16" t="s">
        <v>138</v>
      </c>
      <c r="J1031" s="16">
        <v>16.485332</v>
      </c>
      <c r="K1031" s="16">
        <v>-97.869547999999995</v>
      </c>
      <c r="L1031" s="16" t="str">
        <f>HYPERLINK("https://maps.google.com/?q=16.485332,-97.869548", "🔗 Ver Mapa")</f>
        <v>🔗 Ver Mapa</v>
      </c>
    </row>
    <row r="1032" spans="1:12" ht="43.5" x14ac:dyDescent="0.35">
      <c r="A1032" s="6" t="s">
        <v>7</v>
      </c>
      <c r="B1032" s="6" t="s">
        <v>20</v>
      </c>
      <c r="C1032" s="6" t="s">
        <v>545</v>
      </c>
      <c r="D1032" s="11" t="s">
        <v>67</v>
      </c>
      <c r="E1032" s="17" t="s">
        <v>74</v>
      </c>
      <c r="F1032" s="17" t="s">
        <v>82</v>
      </c>
      <c r="G1032" s="11" t="s">
        <v>337</v>
      </c>
      <c r="H1032" s="11" t="s">
        <v>546</v>
      </c>
      <c r="I1032" s="17" t="s">
        <v>138</v>
      </c>
      <c r="J1032" s="17">
        <v>16.486350000000002</v>
      </c>
      <c r="K1032" s="17">
        <v>-97.866810000000001</v>
      </c>
      <c r="L1032" s="17" t="str">
        <f>HYPERLINK("https://maps.google.com/?q=16.48635,-97.86681", "🔗 Ver Mapa")</f>
        <v>🔗 Ver Mapa</v>
      </c>
    </row>
    <row r="1033" spans="1:12" ht="43.5" x14ac:dyDescent="0.35">
      <c r="A1033" s="5" t="s">
        <v>7</v>
      </c>
      <c r="B1033" s="5" t="s">
        <v>20</v>
      </c>
      <c r="C1033" s="5" t="s">
        <v>545</v>
      </c>
      <c r="D1033" s="8" t="s">
        <v>67</v>
      </c>
      <c r="E1033" s="16" t="s">
        <v>74</v>
      </c>
      <c r="F1033" s="16" t="s">
        <v>82</v>
      </c>
      <c r="G1033" s="8" t="s">
        <v>337</v>
      </c>
      <c r="H1033" s="8" t="s">
        <v>546</v>
      </c>
      <c r="I1033" s="16" t="s">
        <v>138</v>
      </c>
      <c r="J1033" s="16">
        <v>16.486518721113999</v>
      </c>
      <c r="K1033" s="16">
        <v>-97.867806677420006</v>
      </c>
      <c r="L1033" s="16" t="str">
        <f>HYPERLINK("https://maps.google.com/?q=16.486518721114,-97.86780667742", "🔗 Ver Mapa")</f>
        <v>🔗 Ver Mapa</v>
      </c>
    </row>
    <row r="1034" spans="1:12" ht="72.5" x14ac:dyDescent="0.35">
      <c r="A1034" s="6" t="s">
        <v>7</v>
      </c>
      <c r="B1034" s="6" t="s">
        <v>20</v>
      </c>
      <c r="C1034" s="6" t="s">
        <v>547</v>
      </c>
      <c r="D1034" s="11" t="s">
        <v>67</v>
      </c>
      <c r="E1034" s="17" t="s">
        <v>75</v>
      </c>
      <c r="F1034" s="17" t="s">
        <v>86</v>
      </c>
      <c r="G1034" s="11" t="s">
        <v>112</v>
      </c>
      <c r="H1034" s="11" t="s">
        <v>295</v>
      </c>
      <c r="I1034" s="17" t="s">
        <v>138</v>
      </c>
      <c r="J1034" s="17">
        <v>17.022410000000001</v>
      </c>
      <c r="K1034" s="17">
        <v>-96.719295000000002</v>
      </c>
      <c r="L1034" s="17" t="str">
        <f>HYPERLINK("https://maps.google.com/?q=17.02241,-96.719295", "🔗 Ver Mapa")</f>
        <v>🔗 Ver Mapa</v>
      </c>
    </row>
    <row r="1035" spans="1:12" ht="72.5" x14ac:dyDescent="0.35">
      <c r="A1035" s="5" t="s">
        <v>7</v>
      </c>
      <c r="B1035" s="5" t="s">
        <v>20</v>
      </c>
      <c r="C1035" s="5" t="s">
        <v>547</v>
      </c>
      <c r="D1035" s="8" t="s">
        <v>67</v>
      </c>
      <c r="E1035" s="16" t="s">
        <v>75</v>
      </c>
      <c r="F1035" s="16" t="s">
        <v>86</v>
      </c>
      <c r="G1035" s="8" t="s">
        <v>112</v>
      </c>
      <c r="H1035" s="8" t="s">
        <v>295</v>
      </c>
      <c r="I1035" s="16" t="s">
        <v>138</v>
      </c>
      <c r="J1035" s="16">
        <v>17.032425</v>
      </c>
      <c r="K1035" s="16">
        <v>-96.722434000000007</v>
      </c>
      <c r="L1035" s="16" t="str">
        <f>HYPERLINK("https://maps.google.com/?q=17.032425,-96.722434", "🔗 Ver Mapa")</f>
        <v>🔗 Ver Mapa</v>
      </c>
    </row>
    <row r="1036" spans="1:12" ht="72.5" x14ac:dyDescent="0.35">
      <c r="A1036" s="6" t="s">
        <v>7</v>
      </c>
      <c r="B1036" s="6" t="s">
        <v>20</v>
      </c>
      <c r="C1036" s="6" t="s">
        <v>548</v>
      </c>
      <c r="D1036" s="11" t="s">
        <v>67</v>
      </c>
      <c r="E1036" s="17" t="s">
        <v>75</v>
      </c>
      <c r="F1036" s="17" t="s">
        <v>86</v>
      </c>
      <c r="G1036" s="11" t="s">
        <v>112</v>
      </c>
      <c r="H1036" s="11" t="s">
        <v>295</v>
      </c>
      <c r="I1036" s="17" t="s">
        <v>138</v>
      </c>
      <c r="J1036" s="17">
        <v>17.023622</v>
      </c>
      <c r="K1036" s="17">
        <v>-96.718860000000006</v>
      </c>
      <c r="L1036" s="17" t="str">
        <f>HYPERLINK("https://maps.google.com/?q=17.023622,-96.71886", "🔗 Ver Mapa")</f>
        <v>🔗 Ver Mapa</v>
      </c>
    </row>
    <row r="1037" spans="1:12" ht="72.5" x14ac:dyDescent="0.35">
      <c r="A1037" s="5" t="s">
        <v>7</v>
      </c>
      <c r="B1037" s="5" t="s">
        <v>20</v>
      </c>
      <c r="C1037" s="5" t="s">
        <v>548</v>
      </c>
      <c r="D1037" s="8" t="s">
        <v>67</v>
      </c>
      <c r="E1037" s="16" t="s">
        <v>75</v>
      </c>
      <c r="F1037" s="16" t="s">
        <v>86</v>
      </c>
      <c r="G1037" s="8" t="s">
        <v>112</v>
      </c>
      <c r="H1037" s="8" t="s">
        <v>295</v>
      </c>
      <c r="I1037" s="16" t="s">
        <v>138</v>
      </c>
      <c r="J1037" s="16">
        <v>17.0306</v>
      </c>
      <c r="K1037" s="16">
        <v>-96.716024000000004</v>
      </c>
      <c r="L1037" s="16" t="str">
        <f>HYPERLINK("https://maps.google.com/?q=17.0306,-96.716024", "🔗 Ver Mapa")</f>
        <v>🔗 Ver Mapa</v>
      </c>
    </row>
    <row r="1038" spans="1:12" ht="72.5" x14ac:dyDescent="0.35">
      <c r="A1038" s="6" t="s">
        <v>7</v>
      </c>
      <c r="B1038" s="6" t="s">
        <v>20</v>
      </c>
      <c r="C1038" s="6" t="s">
        <v>548</v>
      </c>
      <c r="D1038" s="11" t="s">
        <v>67</v>
      </c>
      <c r="E1038" s="17" t="s">
        <v>75</v>
      </c>
      <c r="F1038" s="17" t="s">
        <v>86</v>
      </c>
      <c r="G1038" s="11" t="s">
        <v>112</v>
      </c>
      <c r="H1038" s="11" t="s">
        <v>295</v>
      </c>
      <c r="I1038" s="17" t="s">
        <v>138</v>
      </c>
      <c r="J1038" s="17">
        <v>17.033431</v>
      </c>
      <c r="K1038" s="17">
        <v>-96.724356</v>
      </c>
      <c r="L1038" s="17" t="str">
        <f>HYPERLINK("https://maps.google.com/?q=17.033431,-96.724356", "🔗 Ver Mapa")</f>
        <v>🔗 Ver Mapa</v>
      </c>
    </row>
    <row r="1039" spans="1:12" ht="43.5" x14ac:dyDescent="0.35">
      <c r="A1039" s="5" t="s">
        <v>7</v>
      </c>
      <c r="B1039" s="5" t="s">
        <v>20</v>
      </c>
      <c r="C1039" s="5" t="s">
        <v>549</v>
      </c>
      <c r="D1039" s="8" t="s">
        <v>67</v>
      </c>
      <c r="E1039" s="16" t="s">
        <v>75</v>
      </c>
      <c r="F1039" s="16" t="s">
        <v>86</v>
      </c>
      <c r="G1039" s="8" t="s">
        <v>103</v>
      </c>
      <c r="H1039" s="8" t="s">
        <v>125</v>
      </c>
      <c r="I1039" s="16" t="s">
        <v>138</v>
      </c>
      <c r="J1039" s="16">
        <v>17.085587</v>
      </c>
      <c r="K1039" s="16">
        <v>-96.701756000000003</v>
      </c>
      <c r="L1039" s="16" t="str">
        <f>HYPERLINK("https://maps.google.com/?q=17.085587,-96.701756", "🔗 Ver Mapa")</f>
        <v>🔗 Ver Mapa</v>
      </c>
    </row>
    <row r="1040" spans="1:12" ht="58" x14ac:dyDescent="0.35">
      <c r="A1040" s="6" t="s">
        <v>7</v>
      </c>
      <c r="B1040" s="6" t="s">
        <v>20</v>
      </c>
      <c r="C1040" s="6" t="s">
        <v>550</v>
      </c>
      <c r="D1040" s="11" t="s">
        <v>67</v>
      </c>
      <c r="E1040" s="17" t="s">
        <v>75</v>
      </c>
      <c r="F1040" s="17" t="s">
        <v>86</v>
      </c>
      <c r="G1040" s="11" t="s">
        <v>103</v>
      </c>
      <c r="H1040" s="11" t="s">
        <v>125</v>
      </c>
      <c r="I1040" s="17" t="s">
        <v>138</v>
      </c>
      <c r="J1040" s="17">
        <v>17.126462</v>
      </c>
      <c r="K1040" s="17">
        <v>-96.767566000000002</v>
      </c>
      <c r="L1040" s="17" t="str">
        <f>HYPERLINK("https://maps.google.com/?q=17.126462,-96.767566", "🔗 Ver Mapa")</f>
        <v>🔗 Ver Mapa</v>
      </c>
    </row>
    <row r="1041" spans="1:12" ht="58" x14ac:dyDescent="0.35">
      <c r="A1041" s="5" t="s">
        <v>7</v>
      </c>
      <c r="B1041" s="5" t="s">
        <v>20</v>
      </c>
      <c r="C1041" s="5" t="s">
        <v>551</v>
      </c>
      <c r="D1041" s="8" t="s">
        <v>67</v>
      </c>
      <c r="E1041" s="16" t="s">
        <v>75</v>
      </c>
      <c r="F1041" s="16" t="s">
        <v>86</v>
      </c>
      <c r="G1041" s="8" t="s">
        <v>112</v>
      </c>
      <c r="H1041" s="8" t="s">
        <v>552</v>
      </c>
      <c r="I1041" s="16" t="s">
        <v>138</v>
      </c>
      <c r="J1041" s="16">
        <v>17.019292</v>
      </c>
      <c r="K1041" s="16">
        <v>-96.749350000000007</v>
      </c>
      <c r="L1041" s="16" t="str">
        <f>HYPERLINK("https://maps.google.com/?q=17.019292,-96.74935", "🔗 Ver Mapa")</f>
        <v>🔗 Ver Mapa</v>
      </c>
    </row>
    <row r="1042" spans="1:12" ht="58" x14ac:dyDescent="0.35">
      <c r="A1042" s="6" t="s">
        <v>7</v>
      </c>
      <c r="B1042" s="6" t="s">
        <v>20</v>
      </c>
      <c r="C1042" s="6" t="s">
        <v>551</v>
      </c>
      <c r="D1042" s="11" t="s">
        <v>67</v>
      </c>
      <c r="E1042" s="17" t="s">
        <v>75</v>
      </c>
      <c r="F1042" s="17" t="s">
        <v>86</v>
      </c>
      <c r="G1042" s="11" t="s">
        <v>112</v>
      </c>
      <c r="H1042" s="11" t="s">
        <v>552</v>
      </c>
      <c r="I1042" s="17" t="s">
        <v>138</v>
      </c>
      <c r="J1042" s="17">
        <v>17.026246745965</v>
      </c>
      <c r="K1042" s="17">
        <v>-96.772260045177006</v>
      </c>
      <c r="L1042" s="17" t="str">
        <f>HYPERLINK("https://maps.google.com/?q=17.026246745965,-96.772260045177", "🔗 Ver Mapa")</f>
        <v>🔗 Ver Mapa</v>
      </c>
    </row>
    <row r="1043" spans="1:12" ht="58" x14ac:dyDescent="0.35">
      <c r="A1043" s="5" t="s">
        <v>7</v>
      </c>
      <c r="B1043" s="5" t="s">
        <v>20</v>
      </c>
      <c r="C1043" s="5" t="s">
        <v>551</v>
      </c>
      <c r="D1043" s="8" t="s">
        <v>67</v>
      </c>
      <c r="E1043" s="16" t="s">
        <v>75</v>
      </c>
      <c r="F1043" s="16" t="s">
        <v>86</v>
      </c>
      <c r="G1043" s="8" t="s">
        <v>112</v>
      </c>
      <c r="H1043" s="8" t="s">
        <v>552</v>
      </c>
      <c r="I1043" s="16" t="s">
        <v>138</v>
      </c>
      <c r="J1043" s="16">
        <v>17.038430999999999</v>
      </c>
      <c r="K1043" s="16">
        <v>-96.789107000000001</v>
      </c>
      <c r="L1043" s="16" t="str">
        <f>HYPERLINK("https://maps.google.com/?q=17.038431,-96.789107", "🔗 Ver Mapa")</f>
        <v>🔗 Ver Mapa</v>
      </c>
    </row>
    <row r="1044" spans="1:12" ht="43.5" x14ac:dyDescent="0.35">
      <c r="A1044" s="6" t="s">
        <v>2</v>
      </c>
      <c r="B1044" s="6" t="s">
        <v>15</v>
      </c>
      <c r="C1044" s="6" t="s">
        <v>553</v>
      </c>
      <c r="D1044" s="11" t="s">
        <v>62</v>
      </c>
      <c r="E1044" s="17" t="s">
        <v>76</v>
      </c>
      <c r="F1044" s="17" t="s">
        <v>85</v>
      </c>
      <c r="G1044" s="11" t="s">
        <v>102</v>
      </c>
      <c r="H1044" s="11" t="s">
        <v>124</v>
      </c>
      <c r="I1044" s="17" t="s">
        <v>138</v>
      </c>
      <c r="J1044" s="17">
        <v>15.746143999999999</v>
      </c>
      <c r="K1044" s="17">
        <v>-96.465182999999996</v>
      </c>
      <c r="L1044" s="17" t="str">
        <f>HYPERLINK("https://maps.google.com/?q=15.746144,-96.465183", "🔗 Ver Mapa")</f>
        <v>🔗 Ver Mapa</v>
      </c>
    </row>
    <row r="1045" spans="1:12" ht="43.5" x14ac:dyDescent="0.35">
      <c r="A1045" s="5" t="s">
        <v>2</v>
      </c>
      <c r="B1045" s="5" t="s">
        <v>15</v>
      </c>
      <c r="C1045" s="5" t="s">
        <v>553</v>
      </c>
      <c r="D1045" s="8" t="s">
        <v>62</v>
      </c>
      <c r="E1045" s="16" t="s">
        <v>76</v>
      </c>
      <c r="F1045" s="16" t="s">
        <v>85</v>
      </c>
      <c r="G1045" s="8" t="s">
        <v>102</v>
      </c>
      <c r="H1045" s="8" t="s">
        <v>124</v>
      </c>
      <c r="I1045" s="16" t="s">
        <v>138</v>
      </c>
      <c r="J1045" s="16">
        <v>16.237075999999998</v>
      </c>
      <c r="K1045" s="16">
        <v>-97.292351999999994</v>
      </c>
      <c r="L1045" s="16" t="str">
        <f>HYPERLINK("https://maps.google.com/?q=16.237076,-97.292352", "🔗 Ver Mapa")</f>
        <v>🔗 Ver Mapa</v>
      </c>
    </row>
    <row r="1046" spans="1:12" ht="43.5" x14ac:dyDescent="0.35">
      <c r="A1046" s="6" t="s">
        <v>2</v>
      </c>
      <c r="B1046" s="6" t="s">
        <v>15</v>
      </c>
      <c r="C1046" s="6" t="s">
        <v>553</v>
      </c>
      <c r="D1046" s="11" t="s">
        <v>62</v>
      </c>
      <c r="E1046" s="17" t="s">
        <v>76</v>
      </c>
      <c r="F1046" s="17" t="s">
        <v>85</v>
      </c>
      <c r="G1046" s="11" t="s">
        <v>102</v>
      </c>
      <c r="H1046" s="11" t="s">
        <v>124</v>
      </c>
      <c r="I1046" s="17" t="s">
        <v>138</v>
      </c>
      <c r="J1046" s="17">
        <v>16.279057999999999</v>
      </c>
      <c r="K1046" s="17">
        <v>-97.820240999999996</v>
      </c>
      <c r="L1046" s="17" t="str">
        <f>HYPERLINK("https://maps.google.com/?q=16.279058,-97.820241", "🔗 Ver Mapa")</f>
        <v>🔗 Ver Mapa</v>
      </c>
    </row>
    <row r="1047" spans="1:12" ht="43.5" x14ac:dyDescent="0.35">
      <c r="A1047" s="5" t="s">
        <v>2</v>
      </c>
      <c r="B1047" s="5" t="s">
        <v>15</v>
      </c>
      <c r="C1047" s="5" t="s">
        <v>553</v>
      </c>
      <c r="D1047" s="8" t="s">
        <v>62</v>
      </c>
      <c r="E1047" s="16" t="s">
        <v>76</v>
      </c>
      <c r="F1047" s="16" t="s">
        <v>85</v>
      </c>
      <c r="G1047" s="8" t="s">
        <v>102</v>
      </c>
      <c r="H1047" s="8" t="s">
        <v>124</v>
      </c>
      <c r="I1047" s="16" t="s">
        <v>138</v>
      </c>
      <c r="J1047" s="16">
        <v>16.328751</v>
      </c>
      <c r="K1047" s="16">
        <v>-96.596529000000004</v>
      </c>
      <c r="L1047" s="16" t="str">
        <f>HYPERLINK("https://maps.google.com/?q=16.328751,-96.596529", "🔗 Ver Mapa")</f>
        <v>🔗 Ver Mapa</v>
      </c>
    </row>
    <row r="1048" spans="1:12" ht="43.5" x14ac:dyDescent="0.35">
      <c r="A1048" s="6" t="s">
        <v>2</v>
      </c>
      <c r="B1048" s="6" t="s">
        <v>15</v>
      </c>
      <c r="C1048" s="6" t="s">
        <v>553</v>
      </c>
      <c r="D1048" s="11" t="s">
        <v>62</v>
      </c>
      <c r="E1048" s="17" t="s">
        <v>76</v>
      </c>
      <c r="F1048" s="17" t="s">
        <v>85</v>
      </c>
      <c r="G1048" s="11" t="s">
        <v>102</v>
      </c>
      <c r="H1048" s="11" t="s">
        <v>124</v>
      </c>
      <c r="I1048" s="17" t="s">
        <v>138</v>
      </c>
      <c r="J1048" s="17">
        <v>16.332014000000001</v>
      </c>
      <c r="K1048" s="17">
        <v>-95.231966</v>
      </c>
      <c r="L1048" s="17" t="str">
        <f>HYPERLINK("https://maps.google.com/?q=16.332014,-95.231966", "🔗 Ver Mapa")</f>
        <v>🔗 Ver Mapa</v>
      </c>
    </row>
    <row r="1049" spans="1:12" ht="43.5" x14ac:dyDescent="0.35">
      <c r="A1049" s="5" t="s">
        <v>2</v>
      </c>
      <c r="B1049" s="5" t="s">
        <v>15</v>
      </c>
      <c r="C1049" s="5" t="s">
        <v>553</v>
      </c>
      <c r="D1049" s="8" t="s">
        <v>62</v>
      </c>
      <c r="E1049" s="16" t="s">
        <v>76</v>
      </c>
      <c r="F1049" s="16" t="s">
        <v>85</v>
      </c>
      <c r="G1049" s="8" t="s">
        <v>102</v>
      </c>
      <c r="H1049" s="8" t="s">
        <v>124</v>
      </c>
      <c r="I1049" s="16" t="s">
        <v>138</v>
      </c>
      <c r="J1049" s="16">
        <v>16.433347000000001</v>
      </c>
      <c r="K1049" s="16">
        <v>-95.021687</v>
      </c>
      <c r="L1049" s="16" t="str">
        <f>HYPERLINK("https://maps.google.com/?q=16.433347,-95.021687", "🔗 Ver Mapa")</f>
        <v>🔗 Ver Mapa</v>
      </c>
    </row>
    <row r="1050" spans="1:12" ht="43.5" x14ac:dyDescent="0.35">
      <c r="A1050" s="6" t="s">
        <v>2</v>
      </c>
      <c r="B1050" s="6" t="s">
        <v>15</v>
      </c>
      <c r="C1050" s="6" t="s">
        <v>553</v>
      </c>
      <c r="D1050" s="11" t="s">
        <v>62</v>
      </c>
      <c r="E1050" s="17" t="s">
        <v>76</v>
      </c>
      <c r="F1050" s="17" t="s">
        <v>85</v>
      </c>
      <c r="G1050" s="11" t="s">
        <v>102</v>
      </c>
      <c r="H1050" s="11" t="s">
        <v>124</v>
      </c>
      <c r="I1050" s="17" t="s">
        <v>138</v>
      </c>
      <c r="J1050" s="17">
        <v>16.500512000000001</v>
      </c>
      <c r="K1050" s="17">
        <v>-96.106790000000004</v>
      </c>
      <c r="L1050" s="17" t="str">
        <f>HYPERLINK("https://maps.google.com/?q=16.500512,-96.10679", "🔗 Ver Mapa")</f>
        <v>🔗 Ver Mapa</v>
      </c>
    </row>
    <row r="1051" spans="1:12" ht="43.5" x14ac:dyDescent="0.35">
      <c r="A1051" s="5" t="s">
        <v>2</v>
      </c>
      <c r="B1051" s="5" t="s">
        <v>15</v>
      </c>
      <c r="C1051" s="5" t="s">
        <v>553</v>
      </c>
      <c r="D1051" s="8" t="s">
        <v>62</v>
      </c>
      <c r="E1051" s="16" t="s">
        <v>76</v>
      </c>
      <c r="F1051" s="16" t="s">
        <v>85</v>
      </c>
      <c r="G1051" s="8" t="s">
        <v>102</v>
      </c>
      <c r="H1051" s="8" t="s">
        <v>124</v>
      </c>
      <c r="I1051" s="16" t="s">
        <v>138</v>
      </c>
      <c r="J1051" s="16">
        <v>16.519807</v>
      </c>
      <c r="K1051" s="16">
        <v>-96.983885000000001</v>
      </c>
      <c r="L1051" s="16" t="str">
        <f>HYPERLINK("https://maps.google.com/?q=16.519807,-96.983885", "🔗 Ver Mapa")</f>
        <v>🔗 Ver Mapa</v>
      </c>
    </row>
    <row r="1052" spans="1:12" ht="43.5" x14ac:dyDescent="0.35">
      <c r="A1052" s="6" t="s">
        <v>2</v>
      </c>
      <c r="B1052" s="6" t="s">
        <v>15</v>
      </c>
      <c r="C1052" s="6" t="s">
        <v>553</v>
      </c>
      <c r="D1052" s="11" t="s">
        <v>62</v>
      </c>
      <c r="E1052" s="17" t="s">
        <v>76</v>
      </c>
      <c r="F1052" s="17" t="s">
        <v>85</v>
      </c>
      <c r="G1052" s="11" t="s">
        <v>102</v>
      </c>
      <c r="H1052" s="11" t="s">
        <v>124</v>
      </c>
      <c r="I1052" s="17" t="s">
        <v>138</v>
      </c>
      <c r="J1052" s="17">
        <v>16.564243999999999</v>
      </c>
      <c r="K1052" s="17">
        <v>-96.731829000000005</v>
      </c>
      <c r="L1052" s="17" t="str">
        <f>HYPERLINK("https://maps.google.com/?q=16.564244,-96.731829", "🔗 Ver Mapa")</f>
        <v>🔗 Ver Mapa</v>
      </c>
    </row>
    <row r="1053" spans="1:12" ht="43.5" x14ac:dyDescent="0.35">
      <c r="A1053" s="5" t="s">
        <v>2</v>
      </c>
      <c r="B1053" s="5" t="s">
        <v>15</v>
      </c>
      <c r="C1053" s="5" t="s">
        <v>553</v>
      </c>
      <c r="D1053" s="8" t="s">
        <v>62</v>
      </c>
      <c r="E1053" s="16" t="s">
        <v>76</v>
      </c>
      <c r="F1053" s="16" t="s">
        <v>85</v>
      </c>
      <c r="G1053" s="8" t="s">
        <v>102</v>
      </c>
      <c r="H1053" s="8" t="s">
        <v>124</v>
      </c>
      <c r="I1053" s="16" t="s">
        <v>138</v>
      </c>
      <c r="J1053" s="16">
        <v>16.791625</v>
      </c>
      <c r="K1053" s="16">
        <v>-96.674999</v>
      </c>
      <c r="L1053" s="16" t="str">
        <f>HYPERLINK("https://maps.google.com/?q=16.791625,-96.674999", "🔗 Ver Mapa")</f>
        <v>🔗 Ver Mapa</v>
      </c>
    </row>
    <row r="1054" spans="1:12" ht="43.5" x14ac:dyDescent="0.35">
      <c r="A1054" s="6" t="s">
        <v>2</v>
      </c>
      <c r="B1054" s="6" t="s">
        <v>15</v>
      </c>
      <c r="C1054" s="6" t="s">
        <v>553</v>
      </c>
      <c r="D1054" s="11" t="s">
        <v>62</v>
      </c>
      <c r="E1054" s="17" t="s">
        <v>76</v>
      </c>
      <c r="F1054" s="17" t="s">
        <v>85</v>
      </c>
      <c r="G1054" s="11" t="s">
        <v>102</v>
      </c>
      <c r="H1054" s="11" t="s">
        <v>124</v>
      </c>
      <c r="I1054" s="17" t="s">
        <v>138</v>
      </c>
      <c r="J1054" s="17">
        <v>16.866371000000001</v>
      </c>
      <c r="K1054" s="17">
        <v>-96.785623000000001</v>
      </c>
      <c r="L1054" s="17" t="str">
        <f>HYPERLINK("https://maps.google.com/?q=16.866371,-96.785623", "🔗 Ver Mapa")</f>
        <v>🔗 Ver Mapa</v>
      </c>
    </row>
    <row r="1055" spans="1:12" ht="43.5" x14ac:dyDescent="0.35">
      <c r="A1055" s="5" t="s">
        <v>2</v>
      </c>
      <c r="B1055" s="5" t="s">
        <v>15</v>
      </c>
      <c r="C1055" s="5" t="s">
        <v>553</v>
      </c>
      <c r="D1055" s="8" t="s">
        <v>62</v>
      </c>
      <c r="E1055" s="16" t="s">
        <v>76</v>
      </c>
      <c r="F1055" s="16" t="s">
        <v>85</v>
      </c>
      <c r="G1055" s="8" t="s">
        <v>102</v>
      </c>
      <c r="H1055" s="8" t="s">
        <v>124</v>
      </c>
      <c r="I1055" s="16" t="s">
        <v>138</v>
      </c>
      <c r="J1055" s="16">
        <v>16.950706</v>
      </c>
      <c r="K1055" s="16">
        <v>-96.750504000000006</v>
      </c>
      <c r="L1055" s="16" t="str">
        <f>HYPERLINK("https://maps.google.com/?q=16.950706,-96.750504", "🔗 Ver Mapa")</f>
        <v>🔗 Ver Mapa</v>
      </c>
    </row>
    <row r="1056" spans="1:12" ht="43.5" x14ac:dyDescent="0.35">
      <c r="A1056" s="6" t="s">
        <v>2</v>
      </c>
      <c r="B1056" s="6" t="s">
        <v>15</v>
      </c>
      <c r="C1056" s="6" t="s">
        <v>553</v>
      </c>
      <c r="D1056" s="11" t="s">
        <v>62</v>
      </c>
      <c r="E1056" s="17" t="s">
        <v>76</v>
      </c>
      <c r="F1056" s="17" t="s">
        <v>85</v>
      </c>
      <c r="G1056" s="11" t="s">
        <v>102</v>
      </c>
      <c r="H1056" s="11" t="s">
        <v>124</v>
      </c>
      <c r="I1056" s="17" t="s">
        <v>138</v>
      </c>
      <c r="J1056" s="17">
        <v>16.955580000000001</v>
      </c>
      <c r="K1056" s="17">
        <v>-96.479206000000005</v>
      </c>
      <c r="L1056" s="17" t="str">
        <f>HYPERLINK("https://maps.google.com/?q=16.95558,-96.479206", "🔗 Ver Mapa")</f>
        <v>🔗 Ver Mapa</v>
      </c>
    </row>
    <row r="1057" spans="1:12" ht="43.5" x14ac:dyDescent="0.35">
      <c r="A1057" s="5" t="s">
        <v>2</v>
      </c>
      <c r="B1057" s="5" t="s">
        <v>15</v>
      </c>
      <c r="C1057" s="5" t="s">
        <v>553</v>
      </c>
      <c r="D1057" s="8" t="s">
        <v>62</v>
      </c>
      <c r="E1057" s="16" t="s">
        <v>76</v>
      </c>
      <c r="F1057" s="16" t="s">
        <v>85</v>
      </c>
      <c r="G1057" s="8" t="s">
        <v>102</v>
      </c>
      <c r="H1057" s="8" t="s">
        <v>124</v>
      </c>
      <c r="I1057" s="16" t="s">
        <v>138</v>
      </c>
      <c r="J1057" s="16">
        <v>17.026216000000002</v>
      </c>
      <c r="K1057" s="16">
        <v>-97.928115000000005</v>
      </c>
      <c r="L1057" s="16" t="str">
        <f>HYPERLINK("https://maps.google.com/?q=17.026216,-97.928115", "🔗 Ver Mapa")</f>
        <v>🔗 Ver Mapa</v>
      </c>
    </row>
    <row r="1058" spans="1:12" ht="43.5" x14ac:dyDescent="0.35">
      <c r="A1058" s="6" t="s">
        <v>2</v>
      </c>
      <c r="B1058" s="6" t="s">
        <v>15</v>
      </c>
      <c r="C1058" s="6" t="s">
        <v>553</v>
      </c>
      <c r="D1058" s="11" t="s">
        <v>62</v>
      </c>
      <c r="E1058" s="17" t="s">
        <v>76</v>
      </c>
      <c r="F1058" s="17" t="s">
        <v>85</v>
      </c>
      <c r="G1058" s="11" t="s">
        <v>102</v>
      </c>
      <c r="H1058" s="11" t="s">
        <v>124</v>
      </c>
      <c r="I1058" s="17" t="s">
        <v>138</v>
      </c>
      <c r="J1058" s="17">
        <v>17.027131000000001</v>
      </c>
      <c r="K1058" s="17">
        <v>-96.077044000000001</v>
      </c>
      <c r="L1058" s="17" t="str">
        <f>HYPERLINK("https://maps.google.com/?q=17.027131,-96.077044", "🔗 Ver Mapa")</f>
        <v>🔗 Ver Mapa</v>
      </c>
    </row>
    <row r="1059" spans="1:12" ht="43.5" x14ac:dyDescent="0.35">
      <c r="A1059" s="5" t="s">
        <v>2</v>
      </c>
      <c r="B1059" s="5" t="s">
        <v>15</v>
      </c>
      <c r="C1059" s="5" t="s">
        <v>553</v>
      </c>
      <c r="D1059" s="8" t="s">
        <v>62</v>
      </c>
      <c r="E1059" s="16" t="s">
        <v>76</v>
      </c>
      <c r="F1059" s="16" t="s">
        <v>85</v>
      </c>
      <c r="G1059" s="8" t="s">
        <v>102</v>
      </c>
      <c r="H1059" s="8" t="s">
        <v>124</v>
      </c>
      <c r="I1059" s="16" t="s">
        <v>138</v>
      </c>
      <c r="J1059" s="16">
        <v>17.063777999999999</v>
      </c>
      <c r="K1059" s="16">
        <v>-96.729971000000006</v>
      </c>
      <c r="L1059" s="16" t="str">
        <f>HYPERLINK("https://maps.google.com/?q=17.063778,-96.729971", "🔗 Ver Mapa")</f>
        <v>🔗 Ver Mapa</v>
      </c>
    </row>
    <row r="1060" spans="1:12" ht="43.5" x14ac:dyDescent="0.35">
      <c r="A1060" s="6" t="s">
        <v>2</v>
      </c>
      <c r="B1060" s="6" t="s">
        <v>15</v>
      </c>
      <c r="C1060" s="6" t="s">
        <v>553</v>
      </c>
      <c r="D1060" s="11" t="s">
        <v>62</v>
      </c>
      <c r="E1060" s="17" t="s">
        <v>76</v>
      </c>
      <c r="F1060" s="17" t="s">
        <v>85</v>
      </c>
      <c r="G1060" s="11" t="s">
        <v>102</v>
      </c>
      <c r="H1060" s="11" t="s">
        <v>124</v>
      </c>
      <c r="I1060" s="17" t="s">
        <v>138</v>
      </c>
      <c r="J1060" s="17">
        <v>17.207464000000002</v>
      </c>
      <c r="K1060" s="17">
        <v>-96.801094000000006</v>
      </c>
      <c r="L1060" s="17" t="str">
        <f>HYPERLINK("https://maps.google.com/?q=17.207464,-96.801094", "🔗 Ver Mapa")</f>
        <v>🔗 Ver Mapa</v>
      </c>
    </row>
    <row r="1061" spans="1:12" ht="43.5" x14ac:dyDescent="0.35">
      <c r="A1061" s="5" t="s">
        <v>2</v>
      </c>
      <c r="B1061" s="5" t="s">
        <v>15</v>
      </c>
      <c r="C1061" s="5" t="s">
        <v>553</v>
      </c>
      <c r="D1061" s="8" t="s">
        <v>62</v>
      </c>
      <c r="E1061" s="16" t="s">
        <v>76</v>
      </c>
      <c r="F1061" s="16" t="s">
        <v>85</v>
      </c>
      <c r="G1061" s="8" t="s">
        <v>102</v>
      </c>
      <c r="H1061" s="8" t="s">
        <v>124</v>
      </c>
      <c r="I1061" s="16" t="s">
        <v>138</v>
      </c>
      <c r="J1061" s="16">
        <v>17.267448999999999</v>
      </c>
      <c r="K1061" s="16">
        <v>-97.680485000000004</v>
      </c>
      <c r="L1061" s="16" t="str">
        <f>HYPERLINK("https://maps.google.com/?q=17.267449,-97.680485", "🔗 Ver Mapa")</f>
        <v>🔗 Ver Mapa</v>
      </c>
    </row>
    <row r="1062" spans="1:12" ht="43.5" x14ac:dyDescent="0.35">
      <c r="A1062" s="6" t="s">
        <v>2</v>
      </c>
      <c r="B1062" s="6" t="s">
        <v>15</v>
      </c>
      <c r="C1062" s="6" t="s">
        <v>553</v>
      </c>
      <c r="D1062" s="11" t="s">
        <v>62</v>
      </c>
      <c r="E1062" s="17" t="s">
        <v>76</v>
      </c>
      <c r="F1062" s="17" t="s">
        <v>85</v>
      </c>
      <c r="G1062" s="11" t="s">
        <v>102</v>
      </c>
      <c r="H1062" s="11" t="s">
        <v>124</v>
      </c>
      <c r="I1062" s="17" t="s">
        <v>138</v>
      </c>
      <c r="J1062" s="17">
        <v>17.331247999999999</v>
      </c>
      <c r="K1062" s="17">
        <v>-96.487900999999994</v>
      </c>
      <c r="L1062" s="17" t="str">
        <f>HYPERLINK("https://maps.google.com/?q=17.331248,-96.487901", "🔗 Ver Mapa")</f>
        <v>🔗 Ver Mapa</v>
      </c>
    </row>
    <row r="1063" spans="1:12" ht="43.5" x14ac:dyDescent="0.35">
      <c r="A1063" s="5" t="s">
        <v>2</v>
      </c>
      <c r="B1063" s="5" t="s">
        <v>15</v>
      </c>
      <c r="C1063" s="5" t="s">
        <v>553</v>
      </c>
      <c r="D1063" s="8" t="s">
        <v>62</v>
      </c>
      <c r="E1063" s="16" t="s">
        <v>76</v>
      </c>
      <c r="F1063" s="16" t="s">
        <v>85</v>
      </c>
      <c r="G1063" s="8" t="s">
        <v>102</v>
      </c>
      <c r="H1063" s="8" t="s">
        <v>124</v>
      </c>
      <c r="I1063" s="16" t="s">
        <v>138</v>
      </c>
      <c r="J1063" s="16">
        <v>17.335315999999999</v>
      </c>
      <c r="K1063" s="16">
        <v>-98.012051</v>
      </c>
      <c r="L1063" s="16" t="str">
        <f>HYPERLINK("https://maps.google.com/?q=17.335316,-98.012051", "🔗 Ver Mapa")</f>
        <v>🔗 Ver Mapa</v>
      </c>
    </row>
    <row r="1064" spans="1:12" ht="43.5" x14ac:dyDescent="0.35">
      <c r="A1064" s="6" t="s">
        <v>2</v>
      </c>
      <c r="B1064" s="6" t="s">
        <v>15</v>
      </c>
      <c r="C1064" s="6" t="s">
        <v>553</v>
      </c>
      <c r="D1064" s="11" t="s">
        <v>62</v>
      </c>
      <c r="E1064" s="17" t="s">
        <v>76</v>
      </c>
      <c r="F1064" s="17" t="s">
        <v>85</v>
      </c>
      <c r="G1064" s="11" t="s">
        <v>102</v>
      </c>
      <c r="H1064" s="11" t="s">
        <v>124</v>
      </c>
      <c r="I1064" s="17" t="s">
        <v>138</v>
      </c>
      <c r="J1064" s="17">
        <v>17.338730000000002</v>
      </c>
      <c r="K1064" s="17">
        <v>-96.152553999999995</v>
      </c>
      <c r="L1064" s="17" t="str">
        <f>HYPERLINK("https://maps.google.com/?q=17.33873,-96.152554", "🔗 Ver Mapa")</f>
        <v>🔗 Ver Mapa</v>
      </c>
    </row>
    <row r="1065" spans="1:12" ht="43.5" x14ac:dyDescent="0.35">
      <c r="A1065" s="5" t="s">
        <v>2</v>
      </c>
      <c r="B1065" s="5" t="s">
        <v>15</v>
      </c>
      <c r="C1065" s="5" t="s">
        <v>553</v>
      </c>
      <c r="D1065" s="8" t="s">
        <v>62</v>
      </c>
      <c r="E1065" s="16" t="s">
        <v>76</v>
      </c>
      <c r="F1065" s="16" t="s">
        <v>85</v>
      </c>
      <c r="G1065" s="8" t="s">
        <v>102</v>
      </c>
      <c r="H1065" s="8" t="s">
        <v>124</v>
      </c>
      <c r="I1065" s="16" t="s">
        <v>138</v>
      </c>
      <c r="J1065" s="16">
        <v>17.361765999999999</v>
      </c>
      <c r="K1065" s="16">
        <v>-95.922253999999995</v>
      </c>
      <c r="L1065" s="16" t="str">
        <f>HYPERLINK("https://maps.google.com/?q=17.361766,-95.922254", "🔗 Ver Mapa")</f>
        <v>🔗 Ver Mapa</v>
      </c>
    </row>
    <row r="1066" spans="1:12" ht="43.5" x14ac:dyDescent="0.35">
      <c r="A1066" s="6" t="s">
        <v>2</v>
      </c>
      <c r="B1066" s="6" t="s">
        <v>15</v>
      </c>
      <c r="C1066" s="6" t="s">
        <v>553</v>
      </c>
      <c r="D1066" s="11" t="s">
        <v>62</v>
      </c>
      <c r="E1066" s="17" t="s">
        <v>76</v>
      </c>
      <c r="F1066" s="17" t="s">
        <v>85</v>
      </c>
      <c r="G1066" s="11" t="s">
        <v>102</v>
      </c>
      <c r="H1066" s="11" t="s">
        <v>124</v>
      </c>
      <c r="I1066" s="17" t="s">
        <v>138</v>
      </c>
      <c r="J1066" s="17">
        <v>17.458341000000001</v>
      </c>
      <c r="K1066" s="17">
        <v>-97.225285</v>
      </c>
      <c r="L1066" s="17" t="str">
        <f>HYPERLINK("https://maps.google.com/?q=17.458341,-97.225285", "🔗 Ver Mapa")</f>
        <v>🔗 Ver Mapa</v>
      </c>
    </row>
    <row r="1067" spans="1:12" ht="43.5" x14ac:dyDescent="0.35">
      <c r="A1067" s="5" t="s">
        <v>2</v>
      </c>
      <c r="B1067" s="5" t="s">
        <v>15</v>
      </c>
      <c r="C1067" s="5" t="s">
        <v>553</v>
      </c>
      <c r="D1067" s="8" t="s">
        <v>62</v>
      </c>
      <c r="E1067" s="16" t="s">
        <v>76</v>
      </c>
      <c r="F1067" s="16" t="s">
        <v>85</v>
      </c>
      <c r="G1067" s="8" t="s">
        <v>102</v>
      </c>
      <c r="H1067" s="8" t="s">
        <v>124</v>
      </c>
      <c r="I1067" s="16" t="s">
        <v>138</v>
      </c>
      <c r="J1067" s="16">
        <v>17.501442000000001</v>
      </c>
      <c r="K1067" s="16">
        <v>-98.142583999999999</v>
      </c>
      <c r="L1067" s="16" t="str">
        <f>HYPERLINK("https://maps.google.com/?q=17.501442,-98.142584", "🔗 Ver Mapa")</f>
        <v>🔗 Ver Mapa</v>
      </c>
    </row>
    <row r="1068" spans="1:12" ht="43.5" x14ac:dyDescent="0.35">
      <c r="A1068" s="6" t="s">
        <v>2</v>
      </c>
      <c r="B1068" s="6" t="s">
        <v>15</v>
      </c>
      <c r="C1068" s="6" t="s">
        <v>553</v>
      </c>
      <c r="D1068" s="11" t="s">
        <v>62</v>
      </c>
      <c r="E1068" s="17" t="s">
        <v>76</v>
      </c>
      <c r="F1068" s="17" t="s">
        <v>85</v>
      </c>
      <c r="G1068" s="11" t="s">
        <v>102</v>
      </c>
      <c r="H1068" s="11" t="s">
        <v>124</v>
      </c>
      <c r="I1068" s="17" t="s">
        <v>138</v>
      </c>
      <c r="J1068" s="17">
        <v>17.511838000000001</v>
      </c>
      <c r="K1068" s="17">
        <v>-97.488547999999994</v>
      </c>
      <c r="L1068" s="17" t="str">
        <f>HYPERLINK("https://maps.google.com/?q=17.511838,-97.488548", "🔗 Ver Mapa")</f>
        <v>🔗 Ver Mapa</v>
      </c>
    </row>
    <row r="1069" spans="1:12" ht="43.5" x14ac:dyDescent="0.35">
      <c r="A1069" s="5" t="s">
        <v>2</v>
      </c>
      <c r="B1069" s="5" t="s">
        <v>15</v>
      </c>
      <c r="C1069" s="5" t="s">
        <v>553</v>
      </c>
      <c r="D1069" s="8" t="s">
        <v>62</v>
      </c>
      <c r="E1069" s="16" t="s">
        <v>76</v>
      </c>
      <c r="F1069" s="16" t="s">
        <v>85</v>
      </c>
      <c r="G1069" s="8" t="s">
        <v>102</v>
      </c>
      <c r="H1069" s="8" t="s">
        <v>124</v>
      </c>
      <c r="I1069" s="16" t="s">
        <v>138</v>
      </c>
      <c r="J1069" s="16">
        <v>17.724615</v>
      </c>
      <c r="K1069" s="16">
        <v>-97.323898</v>
      </c>
      <c r="L1069" s="16" t="str">
        <f>HYPERLINK("https://maps.google.com/?q=17.724615,-97.323898", "🔗 Ver Mapa")</f>
        <v>🔗 Ver Mapa</v>
      </c>
    </row>
    <row r="1070" spans="1:12" ht="43.5" x14ac:dyDescent="0.35">
      <c r="A1070" s="6" t="s">
        <v>2</v>
      </c>
      <c r="B1070" s="6" t="s">
        <v>15</v>
      </c>
      <c r="C1070" s="6" t="s">
        <v>553</v>
      </c>
      <c r="D1070" s="11" t="s">
        <v>62</v>
      </c>
      <c r="E1070" s="17" t="s">
        <v>76</v>
      </c>
      <c r="F1070" s="17" t="s">
        <v>85</v>
      </c>
      <c r="G1070" s="11" t="s">
        <v>102</v>
      </c>
      <c r="H1070" s="11" t="s">
        <v>124</v>
      </c>
      <c r="I1070" s="17" t="s">
        <v>138</v>
      </c>
      <c r="J1070" s="17">
        <v>17.801687000000001</v>
      </c>
      <c r="K1070" s="17">
        <v>-96.959688</v>
      </c>
      <c r="L1070" s="17" t="str">
        <f>HYPERLINK("https://maps.google.com/?q=17.801687,-96.959688", "🔗 Ver Mapa")</f>
        <v>🔗 Ver Mapa</v>
      </c>
    </row>
    <row r="1071" spans="1:12" ht="43.5" x14ac:dyDescent="0.35">
      <c r="A1071" s="5" t="s">
        <v>2</v>
      </c>
      <c r="B1071" s="5" t="s">
        <v>15</v>
      </c>
      <c r="C1071" s="5" t="s">
        <v>553</v>
      </c>
      <c r="D1071" s="8" t="s">
        <v>62</v>
      </c>
      <c r="E1071" s="16" t="s">
        <v>76</v>
      </c>
      <c r="F1071" s="16" t="s">
        <v>85</v>
      </c>
      <c r="G1071" s="8" t="s">
        <v>102</v>
      </c>
      <c r="H1071" s="8" t="s">
        <v>124</v>
      </c>
      <c r="I1071" s="16" t="s">
        <v>138</v>
      </c>
      <c r="J1071" s="16">
        <v>17.806621</v>
      </c>
      <c r="K1071" s="16">
        <v>-97.776161999999999</v>
      </c>
      <c r="L1071" s="16" t="str">
        <f>HYPERLINK("https://maps.google.com/?q=17.806621,-97.776162", "🔗 Ver Mapa")</f>
        <v>🔗 Ver Mapa</v>
      </c>
    </row>
    <row r="1072" spans="1:12" ht="43.5" x14ac:dyDescent="0.35">
      <c r="A1072" s="6" t="s">
        <v>2</v>
      </c>
      <c r="B1072" s="6" t="s">
        <v>15</v>
      </c>
      <c r="C1072" s="6" t="s">
        <v>553</v>
      </c>
      <c r="D1072" s="11" t="s">
        <v>62</v>
      </c>
      <c r="E1072" s="17" t="s">
        <v>76</v>
      </c>
      <c r="F1072" s="17" t="s">
        <v>85</v>
      </c>
      <c r="G1072" s="11" t="s">
        <v>102</v>
      </c>
      <c r="H1072" s="11" t="s">
        <v>124</v>
      </c>
      <c r="I1072" s="17" t="s">
        <v>138</v>
      </c>
      <c r="J1072" s="17">
        <v>18.081168999999999</v>
      </c>
      <c r="K1072" s="17">
        <v>-96.118475000000004</v>
      </c>
      <c r="L1072" s="17" t="str">
        <f>HYPERLINK("https://maps.google.com/?q=18.081169,-96.118475", "🔗 Ver Mapa")</f>
        <v>🔗 Ver Mapa</v>
      </c>
    </row>
    <row r="1073" spans="1:12" ht="43.5" x14ac:dyDescent="0.35">
      <c r="A1073" s="5" t="s">
        <v>2</v>
      </c>
      <c r="B1073" s="5" t="s">
        <v>15</v>
      </c>
      <c r="C1073" s="5" t="s">
        <v>553</v>
      </c>
      <c r="D1073" s="8" t="s">
        <v>62</v>
      </c>
      <c r="E1073" s="16" t="s">
        <v>76</v>
      </c>
      <c r="F1073" s="16" t="s">
        <v>85</v>
      </c>
      <c r="G1073" s="8" t="s">
        <v>102</v>
      </c>
      <c r="H1073" s="8" t="s">
        <v>124</v>
      </c>
      <c r="I1073" s="16" t="s">
        <v>138</v>
      </c>
      <c r="J1073" s="16">
        <v>18.13222</v>
      </c>
      <c r="K1073" s="16">
        <v>-97.070751000000001</v>
      </c>
      <c r="L1073" s="16" t="str">
        <f>HYPERLINK("https://maps.google.com/?q=18.13222,-97.070751", "🔗 Ver Mapa")</f>
        <v>🔗 Ver Mapa</v>
      </c>
    </row>
    <row r="1074" spans="1:12" ht="43.5" x14ac:dyDescent="0.35">
      <c r="A1074" s="6" t="s">
        <v>2</v>
      </c>
      <c r="B1074" s="6" t="s">
        <v>15</v>
      </c>
      <c r="C1074" s="6" t="s">
        <v>554</v>
      </c>
      <c r="D1074" s="11" t="s">
        <v>62</v>
      </c>
      <c r="E1074" s="17" t="s">
        <v>75</v>
      </c>
      <c r="F1074" s="17" t="s">
        <v>86</v>
      </c>
      <c r="G1074" s="11" t="s">
        <v>103</v>
      </c>
      <c r="H1074" s="11" t="s">
        <v>125</v>
      </c>
      <c r="I1074" s="17" t="s">
        <v>138</v>
      </c>
      <c r="J1074" s="17">
        <v>17.049482501044</v>
      </c>
      <c r="K1074" s="17">
        <v>-96.727451917581007</v>
      </c>
      <c r="L1074" s="17" t="str">
        <f>HYPERLINK("https://maps.google.com/?q=17.049482501044,-96.727451917581", "🔗 Ver Mapa")</f>
        <v>🔗 Ver Mapa</v>
      </c>
    </row>
    <row r="1075" spans="1:12" ht="58" x14ac:dyDescent="0.35">
      <c r="A1075" s="5" t="s">
        <v>7</v>
      </c>
      <c r="B1075" s="5" t="s">
        <v>20</v>
      </c>
      <c r="C1075" s="5" t="s">
        <v>555</v>
      </c>
      <c r="D1075" s="8" t="s">
        <v>67</v>
      </c>
      <c r="E1075" s="16" t="s">
        <v>75</v>
      </c>
      <c r="F1075" s="16" t="s">
        <v>86</v>
      </c>
      <c r="G1075" s="8" t="s">
        <v>103</v>
      </c>
      <c r="H1075" s="8" t="s">
        <v>125</v>
      </c>
      <c r="I1075" s="16" t="s">
        <v>138</v>
      </c>
      <c r="J1075" s="16">
        <v>17.068363000000002</v>
      </c>
      <c r="K1075" s="16">
        <v>-96.736695999999995</v>
      </c>
      <c r="L1075" s="16" t="str">
        <f>HYPERLINK("https://maps.google.com/?q=17.068363,-96.736696", "🔗 Ver Mapa")</f>
        <v>🔗 Ver Mapa</v>
      </c>
    </row>
    <row r="1076" spans="1:12" ht="58" x14ac:dyDescent="0.35">
      <c r="A1076" s="6" t="s">
        <v>7</v>
      </c>
      <c r="B1076" s="6" t="s">
        <v>20</v>
      </c>
      <c r="C1076" s="6" t="s">
        <v>555</v>
      </c>
      <c r="D1076" s="11" t="s">
        <v>67</v>
      </c>
      <c r="E1076" s="17" t="s">
        <v>75</v>
      </c>
      <c r="F1076" s="17" t="s">
        <v>86</v>
      </c>
      <c r="G1076" s="11" t="s">
        <v>103</v>
      </c>
      <c r="H1076" s="11" t="s">
        <v>125</v>
      </c>
      <c r="I1076" s="17" t="s">
        <v>138</v>
      </c>
      <c r="J1076" s="17">
        <v>17.072192000000001</v>
      </c>
      <c r="K1076" s="17">
        <v>-96.738527000000005</v>
      </c>
      <c r="L1076" s="17" t="str">
        <f>HYPERLINK("https://maps.google.com/?q=17.072192,-96.738527", "🔗 Ver Mapa")</f>
        <v>🔗 Ver Mapa</v>
      </c>
    </row>
    <row r="1077" spans="1:12" ht="58" x14ac:dyDescent="0.35">
      <c r="A1077" s="5" t="s">
        <v>7</v>
      </c>
      <c r="B1077" s="5" t="s">
        <v>20</v>
      </c>
      <c r="C1077" s="5" t="s">
        <v>555</v>
      </c>
      <c r="D1077" s="8" t="s">
        <v>67</v>
      </c>
      <c r="E1077" s="16" t="s">
        <v>75</v>
      </c>
      <c r="F1077" s="16" t="s">
        <v>86</v>
      </c>
      <c r="G1077" s="8" t="s">
        <v>103</v>
      </c>
      <c r="H1077" s="8" t="s">
        <v>125</v>
      </c>
      <c r="I1077" s="16" t="s">
        <v>138</v>
      </c>
      <c r="J1077" s="16">
        <v>17.075161000000001</v>
      </c>
      <c r="K1077" s="16">
        <v>-96.739040000000003</v>
      </c>
      <c r="L1077" s="16" t="str">
        <f>HYPERLINK("https://maps.google.com/?q=17.075161,-96.73904", "🔗 Ver Mapa")</f>
        <v>🔗 Ver Mapa</v>
      </c>
    </row>
    <row r="1078" spans="1:12" ht="58" x14ac:dyDescent="0.35">
      <c r="A1078" s="6" t="s">
        <v>7</v>
      </c>
      <c r="B1078" s="6" t="s">
        <v>20</v>
      </c>
      <c r="C1078" s="6" t="s">
        <v>555</v>
      </c>
      <c r="D1078" s="11" t="s">
        <v>67</v>
      </c>
      <c r="E1078" s="17" t="s">
        <v>75</v>
      </c>
      <c r="F1078" s="17" t="s">
        <v>86</v>
      </c>
      <c r="G1078" s="11" t="s">
        <v>103</v>
      </c>
      <c r="H1078" s="11" t="s">
        <v>125</v>
      </c>
      <c r="I1078" s="17" t="s">
        <v>138</v>
      </c>
      <c r="J1078" s="17">
        <v>17.075655999999999</v>
      </c>
      <c r="K1078" s="17">
        <v>-96.741091999999995</v>
      </c>
      <c r="L1078" s="17" t="str">
        <f>HYPERLINK("https://maps.google.com/?q=17.075656,-96.741092", "🔗 Ver Mapa")</f>
        <v>🔗 Ver Mapa</v>
      </c>
    </row>
    <row r="1079" spans="1:12" ht="58" x14ac:dyDescent="0.35">
      <c r="A1079" s="5" t="s">
        <v>7</v>
      </c>
      <c r="B1079" s="5" t="s">
        <v>20</v>
      </c>
      <c r="C1079" s="5" t="s">
        <v>555</v>
      </c>
      <c r="D1079" s="8" t="s">
        <v>67</v>
      </c>
      <c r="E1079" s="16" t="s">
        <v>75</v>
      </c>
      <c r="F1079" s="16" t="s">
        <v>86</v>
      </c>
      <c r="G1079" s="8" t="s">
        <v>103</v>
      </c>
      <c r="H1079" s="8" t="s">
        <v>125</v>
      </c>
      <c r="I1079" s="16" t="s">
        <v>138</v>
      </c>
      <c r="J1079" s="16">
        <v>17.079267000000002</v>
      </c>
      <c r="K1079" s="16">
        <v>-96.743173999999996</v>
      </c>
      <c r="L1079" s="16" t="str">
        <f>HYPERLINK("https://maps.google.com/?q=17.079267,-96.743174", "🔗 Ver Mapa")</f>
        <v>🔗 Ver Mapa</v>
      </c>
    </row>
    <row r="1080" spans="1:12" ht="58" x14ac:dyDescent="0.35">
      <c r="A1080" s="6" t="s">
        <v>7</v>
      </c>
      <c r="B1080" s="6" t="s">
        <v>20</v>
      </c>
      <c r="C1080" s="6" t="s">
        <v>555</v>
      </c>
      <c r="D1080" s="11" t="s">
        <v>67</v>
      </c>
      <c r="E1080" s="17" t="s">
        <v>75</v>
      </c>
      <c r="F1080" s="17" t="s">
        <v>86</v>
      </c>
      <c r="G1080" s="11" t="s">
        <v>103</v>
      </c>
      <c r="H1080" s="11" t="s">
        <v>125</v>
      </c>
      <c r="I1080" s="17" t="s">
        <v>138</v>
      </c>
      <c r="J1080" s="17">
        <v>17.079414</v>
      </c>
      <c r="K1080" s="17">
        <v>-96.741248999999996</v>
      </c>
      <c r="L1080" s="17" t="str">
        <f>HYPERLINK("https://maps.google.com/?q=17.079414,-96.741249", "🔗 Ver Mapa")</f>
        <v>🔗 Ver Mapa</v>
      </c>
    </row>
    <row r="1081" spans="1:12" ht="58" x14ac:dyDescent="0.35">
      <c r="A1081" s="5" t="s">
        <v>7</v>
      </c>
      <c r="B1081" s="5" t="s">
        <v>20</v>
      </c>
      <c r="C1081" s="5" t="s">
        <v>555</v>
      </c>
      <c r="D1081" s="8" t="s">
        <v>67</v>
      </c>
      <c r="E1081" s="16" t="s">
        <v>75</v>
      </c>
      <c r="F1081" s="16" t="s">
        <v>86</v>
      </c>
      <c r="G1081" s="8" t="s">
        <v>103</v>
      </c>
      <c r="H1081" s="8" t="s">
        <v>125</v>
      </c>
      <c r="I1081" s="16" t="s">
        <v>138</v>
      </c>
      <c r="J1081" s="16">
        <v>17.082936</v>
      </c>
      <c r="K1081" s="16">
        <v>-96.743905999999996</v>
      </c>
      <c r="L1081" s="16" t="str">
        <f>HYPERLINK("https://maps.google.com/?q=17.082936,-96.743906", "🔗 Ver Mapa")</f>
        <v>🔗 Ver Mapa</v>
      </c>
    </row>
    <row r="1082" spans="1:12" ht="58" x14ac:dyDescent="0.35">
      <c r="A1082" s="6" t="s">
        <v>7</v>
      </c>
      <c r="B1082" s="6" t="s">
        <v>20</v>
      </c>
      <c r="C1082" s="6" t="s">
        <v>555</v>
      </c>
      <c r="D1082" s="11" t="s">
        <v>67</v>
      </c>
      <c r="E1082" s="17" t="s">
        <v>75</v>
      </c>
      <c r="F1082" s="17" t="s">
        <v>86</v>
      </c>
      <c r="G1082" s="11" t="s">
        <v>103</v>
      </c>
      <c r="H1082" s="11" t="s">
        <v>125</v>
      </c>
      <c r="I1082" s="17" t="s">
        <v>138</v>
      </c>
      <c r="J1082" s="17">
        <v>17.083086000000002</v>
      </c>
      <c r="K1082" s="17">
        <v>-96.743720999999994</v>
      </c>
      <c r="L1082" s="17" t="str">
        <f>HYPERLINK("https://maps.google.com/?q=17.083086,-96.743721", "🔗 Ver Mapa")</f>
        <v>🔗 Ver Mapa</v>
      </c>
    </row>
    <row r="1083" spans="1:12" ht="58" x14ac:dyDescent="0.35">
      <c r="A1083" s="5" t="s">
        <v>7</v>
      </c>
      <c r="B1083" s="5" t="s">
        <v>20</v>
      </c>
      <c r="C1083" s="5" t="s">
        <v>555</v>
      </c>
      <c r="D1083" s="8" t="s">
        <v>67</v>
      </c>
      <c r="E1083" s="16" t="s">
        <v>75</v>
      </c>
      <c r="F1083" s="16" t="s">
        <v>86</v>
      </c>
      <c r="G1083" s="8" t="s">
        <v>103</v>
      </c>
      <c r="H1083" s="8" t="s">
        <v>125</v>
      </c>
      <c r="I1083" s="16" t="s">
        <v>138</v>
      </c>
      <c r="J1083" s="16">
        <v>17.085963</v>
      </c>
      <c r="K1083" s="16">
        <v>-96.745243000000002</v>
      </c>
      <c r="L1083" s="16" t="str">
        <f>HYPERLINK("https://maps.google.com/?q=17.085963,-96.745243", "🔗 Ver Mapa")</f>
        <v>🔗 Ver Mapa</v>
      </c>
    </row>
    <row r="1084" spans="1:12" ht="58" x14ac:dyDescent="0.35">
      <c r="A1084" s="6" t="s">
        <v>7</v>
      </c>
      <c r="B1084" s="6" t="s">
        <v>20</v>
      </c>
      <c r="C1084" s="6" t="s">
        <v>555</v>
      </c>
      <c r="D1084" s="11" t="s">
        <v>67</v>
      </c>
      <c r="E1084" s="17" t="s">
        <v>75</v>
      </c>
      <c r="F1084" s="17" t="s">
        <v>86</v>
      </c>
      <c r="G1084" s="11" t="s">
        <v>103</v>
      </c>
      <c r="H1084" s="11" t="s">
        <v>125</v>
      </c>
      <c r="I1084" s="17" t="s">
        <v>138</v>
      </c>
      <c r="J1084" s="17">
        <v>17.086523</v>
      </c>
      <c r="K1084" s="17">
        <v>-96.745188999999996</v>
      </c>
      <c r="L1084" s="17" t="str">
        <f>HYPERLINK("https://maps.google.com/?q=17.086523,-96.745189", "🔗 Ver Mapa")</f>
        <v>🔗 Ver Mapa</v>
      </c>
    </row>
    <row r="1085" spans="1:12" ht="58" x14ac:dyDescent="0.35">
      <c r="A1085" s="5" t="s">
        <v>7</v>
      </c>
      <c r="B1085" s="5" t="s">
        <v>20</v>
      </c>
      <c r="C1085" s="5" t="s">
        <v>555</v>
      </c>
      <c r="D1085" s="8" t="s">
        <v>67</v>
      </c>
      <c r="E1085" s="16" t="s">
        <v>75</v>
      </c>
      <c r="F1085" s="16" t="s">
        <v>86</v>
      </c>
      <c r="G1085" s="8" t="s">
        <v>103</v>
      </c>
      <c r="H1085" s="8" t="s">
        <v>125</v>
      </c>
      <c r="I1085" s="16" t="s">
        <v>138</v>
      </c>
      <c r="J1085" s="16">
        <v>17.090001999999998</v>
      </c>
      <c r="K1085" s="16">
        <v>-96.746632000000005</v>
      </c>
      <c r="L1085" s="16" t="str">
        <f>HYPERLINK("https://maps.google.com/?q=17.090002,-96.746632", "🔗 Ver Mapa")</f>
        <v>🔗 Ver Mapa</v>
      </c>
    </row>
    <row r="1086" spans="1:12" ht="58" x14ac:dyDescent="0.35">
      <c r="A1086" s="6" t="s">
        <v>7</v>
      </c>
      <c r="B1086" s="6" t="s">
        <v>20</v>
      </c>
      <c r="C1086" s="6" t="s">
        <v>555</v>
      </c>
      <c r="D1086" s="11" t="s">
        <v>67</v>
      </c>
      <c r="E1086" s="17" t="s">
        <v>75</v>
      </c>
      <c r="F1086" s="17" t="s">
        <v>86</v>
      </c>
      <c r="G1086" s="11" t="s">
        <v>103</v>
      </c>
      <c r="H1086" s="11" t="s">
        <v>125</v>
      </c>
      <c r="I1086" s="17" t="s">
        <v>138</v>
      </c>
      <c r="J1086" s="17">
        <v>17.091242999999999</v>
      </c>
      <c r="K1086" s="17">
        <v>-96.747500000000002</v>
      </c>
      <c r="L1086" s="17" t="str">
        <f>HYPERLINK("https://maps.google.com/?q=17.091243,-96.7475", "🔗 Ver Mapa")</f>
        <v>🔗 Ver Mapa</v>
      </c>
    </row>
    <row r="1087" spans="1:12" ht="58" x14ac:dyDescent="0.35">
      <c r="A1087" s="5" t="s">
        <v>7</v>
      </c>
      <c r="B1087" s="5" t="s">
        <v>20</v>
      </c>
      <c r="C1087" s="5" t="s">
        <v>555</v>
      </c>
      <c r="D1087" s="8" t="s">
        <v>67</v>
      </c>
      <c r="E1087" s="16" t="s">
        <v>75</v>
      </c>
      <c r="F1087" s="16" t="s">
        <v>86</v>
      </c>
      <c r="G1087" s="8" t="s">
        <v>103</v>
      </c>
      <c r="H1087" s="8" t="s">
        <v>125</v>
      </c>
      <c r="I1087" s="16" t="s">
        <v>138</v>
      </c>
      <c r="J1087" s="16">
        <v>17.093287</v>
      </c>
      <c r="K1087" s="16">
        <v>-96.748068000000004</v>
      </c>
      <c r="L1087" s="16" t="str">
        <f>HYPERLINK("https://maps.google.com/?q=17.093287,-96.748068", "🔗 Ver Mapa")</f>
        <v>🔗 Ver Mapa</v>
      </c>
    </row>
    <row r="1088" spans="1:12" ht="58" x14ac:dyDescent="0.35">
      <c r="A1088" s="6" t="s">
        <v>7</v>
      </c>
      <c r="B1088" s="6" t="s">
        <v>20</v>
      </c>
      <c r="C1088" s="6" t="s">
        <v>555</v>
      </c>
      <c r="D1088" s="11" t="s">
        <v>67</v>
      </c>
      <c r="E1088" s="17" t="s">
        <v>75</v>
      </c>
      <c r="F1088" s="17" t="s">
        <v>86</v>
      </c>
      <c r="G1088" s="11" t="s">
        <v>103</v>
      </c>
      <c r="H1088" s="11" t="s">
        <v>125</v>
      </c>
      <c r="I1088" s="17" t="s">
        <v>138</v>
      </c>
      <c r="J1088" s="17">
        <v>17.093751999999999</v>
      </c>
      <c r="K1088" s="17">
        <v>-96.748577999999995</v>
      </c>
      <c r="L1088" s="17" t="str">
        <f>HYPERLINK("https://maps.google.com/?q=17.093752,-96.748578", "🔗 Ver Mapa")</f>
        <v>🔗 Ver Mapa</v>
      </c>
    </row>
    <row r="1089" spans="1:12" ht="58" x14ac:dyDescent="0.35">
      <c r="A1089" s="5" t="s">
        <v>7</v>
      </c>
      <c r="B1089" s="5" t="s">
        <v>20</v>
      </c>
      <c r="C1089" s="5" t="s">
        <v>555</v>
      </c>
      <c r="D1089" s="8" t="s">
        <v>67</v>
      </c>
      <c r="E1089" s="16" t="s">
        <v>75</v>
      </c>
      <c r="F1089" s="16" t="s">
        <v>86</v>
      </c>
      <c r="G1089" s="8" t="s">
        <v>103</v>
      </c>
      <c r="H1089" s="8" t="s">
        <v>125</v>
      </c>
      <c r="I1089" s="16" t="s">
        <v>138</v>
      </c>
      <c r="J1089" s="16">
        <v>17.0976</v>
      </c>
      <c r="K1089" s="16">
        <v>-96.750280000000004</v>
      </c>
      <c r="L1089" s="16" t="str">
        <f>HYPERLINK("https://maps.google.com/?q=17.0976,-96.75028", "🔗 Ver Mapa")</f>
        <v>🔗 Ver Mapa</v>
      </c>
    </row>
    <row r="1090" spans="1:12" ht="58" x14ac:dyDescent="0.35">
      <c r="A1090" s="6" t="s">
        <v>7</v>
      </c>
      <c r="B1090" s="6" t="s">
        <v>20</v>
      </c>
      <c r="C1090" s="6" t="s">
        <v>555</v>
      </c>
      <c r="D1090" s="11" t="s">
        <v>67</v>
      </c>
      <c r="E1090" s="17" t="s">
        <v>75</v>
      </c>
      <c r="F1090" s="17" t="s">
        <v>86</v>
      </c>
      <c r="G1090" s="11" t="s">
        <v>103</v>
      </c>
      <c r="H1090" s="11" t="s">
        <v>125</v>
      </c>
      <c r="I1090" s="17" t="s">
        <v>138</v>
      </c>
      <c r="J1090" s="17">
        <v>17.097783</v>
      </c>
      <c r="K1090" s="17">
        <v>-96.750021000000004</v>
      </c>
      <c r="L1090" s="17" t="str">
        <f>HYPERLINK("https://maps.google.com/?q=17.097783,-96.750021", "🔗 Ver Mapa")</f>
        <v>🔗 Ver Mapa</v>
      </c>
    </row>
    <row r="1091" spans="1:12" ht="58" x14ac:dyDescent="0.35">
      <c r="A1091" s="5" t="s">
        <v>7</v>
      </c>
      <c r="B1091" s="5" t="s">
        <v>20</v>
      </c>
      <c r="C1091" s="5" t="s">
        <v>555</v>
      </c>
      <c r="D1091" s="8" t="s">
        <v>67</v>
      </c>
      <c r="E1091" s="16" t="s">
        <v>75</v>
      </c>
      <c r="F1091" s="16" t="s">
        <v>86</v>
      </c>
      <c r="G1091" s="8" t="s">
        <v>103</v>
      </c>
      <c r="H1091" s="8" t="s">
        <v>125</v>
      </c>
      <c r="I1091" s="16" t="s">
        <v>138</v>
      </c>
      <c r="J1091" s="16">
        <v>17.100892999999999</v>
      </c>
      <c r="K1091" s="16">
        <v>-96.751373999999998</v>
      </c>
      <c r="L1091" s="16" t="str">
        <f>HYPERLINK("https://maps.google.com/?q=17.100893,-96.751374", "🔗 Ver Mapa")</f>
        <v>🔗 Ver Mapa</v>
      </c>
    </row>
    <row r="1092" spans="1:12" ht="58" x14ac:dyDescent="0.35">
      <c r="A1092" s="6" t="s">
        <v>7</v>
      </c>
      <c r="B1092" s="6" t="s">
        <v>20</v>
      </c>
      <c r="C1092" s="6" t="s">
        <v>555</v>
      </c>
      <c r="D1092" s="11" t="s">
        <v>67</v>
      </c>
      <c r="E1092" s="17" t="s">
        <v>75</v>
      </c>
      <c r="F1092" s="17" t="s">
        <v>86</v>
      </c>
      <c r="G1092" s="11" t="s">
        <v>103</v>
      </c>
      <c r="H1092" s="11" t="s">
        <v>125</v>
      </c>
      <c r="I1092" s="17" t="s">
        <v>138</v>
      </c>
      <c r="J1092" s="17">
        <v>17.101462000000001</v>
      </c>
      <c r="K1092" s="17">
        <v>-96.751919000000001</v>
      </c>
      <c r="L1092" s="17" t="str">
        <f>HYPERLINK("https://maps.google.com/?q=17.101462,-96.751919", "🔗 Ver Mapa")</f>
        <v>🔗 Ver Mapa</v>
      </c>
    </row>
    <row r="1093" spans="1:12" ht="58" x14ac:dyDescent="0.35">
      <c r="A1093" s="5" t="s">
        <v>7</v>
      </c>
      <c r="B1093" s="5" t="s">
        <v>20</v>
      </c>
      <c r="C1093" s="5" t="s">
        <v>555</v>
      </c>
      <c r="D1093" s="8" t="s">
        <v>67</v>
      </c>
      <c r="E1093" s="16" t="s">
        <v>75</v>
      </c>
      <c r="F1093" s="16" t="s">
        <v>86</v>
      </c>
      <c r="G1093" s="8" t="s">
        <v>103</v>
      </c>
      <c r="H1093" s="8" t="s">
        <v>125</v>
      </c>
      <c r="I1093" s="16" t="s">
        <v>138</v>
      </c>
      <c r="J1093" s="16">
        <v>17.103686</v>
      </c>
      <c r="K1093" s="16">
        <v>-96.752898999999999</v>
      </c>
      <c r="L1093" s="16" t="str">
        <f>HYPERLINK("https://maps.google.com/?q=17.103686,-96.752899", "🔗 Ver Mapa")</f>
        <v>🔗 Ver Mapa</v>
      </c>
    </row>
    <row r="1094" spans="1:12" ht="58" x14ac:dyDescent="0.35">
      <c r="A1094" s="6" t="s">
        <v>7</v>
      </c>
      <c r="B1094" s="6" t="s">
        <v>20</v>
      </c>
      <c r="C1094" s="6" t="s">
        <v>555</v>
      </c>
      <c r="D1094" s="11" t="s">
        <v>67</v>
      </c>
      <c r="E1094" s="17" t="s">
        <v>75</v>
      </c>
      <c r="F1094" s="17" t="s">
        <v>86</v>
      </c>
      <c r="G1094" s="11" t="s">
        <v>103</v>
      </c>
      <c r="H1094" s="11" t="s">
        <v>125</v>
      </c>
      <c r="I1094" s="17" t="s">
        <v>138</v>
      </c>
      <c r="J1094" s="17">
        <v>17.104989</v>
      </c>
      <c r="K1094" s="17">
        <v>-96.753097999999994</v>
      </c>
      <c r="L1094" s="17" t="str">
        <f>HYPERLINK("https://maps.google.com/?q=17.104989,-96.753098", "🔗 Ver Mapa")</f>
        <v>🔗 Ver Mapa</v>
      </c>
    </row>
    <row r="1095" spans="1:12" ht="58" x14ac:dyDescent="0.35">
      <c r="A1095" s="5" t="s">
        <v>7</v>
      </c>
      <c r="B1095" s="5" t="s">
        <v>20</v>
      </c>
      <c r="C1095" s="5" t="s">
        <v>555</v>
      </c>
      <c r="D1095" s="8" t="s">
        <v>67</v>
      </c>
      <c r="E1095" s="16" t="s">
        <v>75</v>
      </c>
      <c r="F1095" s="16" t="s">
        <v>86</v>
      </c>
      <c r="G1095" s="8" t="s">
        <v>103</v>
      </c>
      <c r="H1095" s="8" t="s">
        <v>125</v>
      </c>
      <c r="I1095" s="16" t="s">
        <v>138</v>
      </c>
      <c r="J1095" s="16">
        <v>17.108281000000002</v>
      </c>
      <c r="K1095" s="16">
        <v>-96.754807999999997</v>
      </c>
      <c r="L1095" s="16" t="str">
        <f>HYPERLINK("https://maps.google.com/?q=17.108281,-96.754808", "🔗 Ver Mapa")</f>
        <v>🔗 Ver Mapa</v>
      </c>
    </row>
    <row r="1096" spans="1:12" ht="58" x14ac:dyDescent="0.35">
      <c r="A1096" s="6" t="s">
        <v>7</v>
      </c>
      <c r="B1096" s="6" t="s">
        <v>20</v>
      </c>
      <c r="C1096" s="6" t="s">
        <v>555</v>
      </c>
      <c r="D1096" s="11" t="s">
        <v>67</v>
      </c>
      <c r="E1096" s="17" t="s">
        <v>75</v>
      </c>
      <c r="F1096" s="17" t="s">
        <v>86</v>
      </c>
      <c r="G1096" s="11" t="s">
        <v>103</v>
      </c>
      <c r="H1096" s="11" t="s">
        <v>125</v>
      </c>
      <c r="I1096" s="17" t="s">
        <v>138</v>
      </c>
      <c r="J1096" s="17">
        <v>17.108633000000001</v>
      </c>
      <c r="K1096" s="17">
        <v>-96.754686000000007</v>
      </c>
      <c r="L1096" s="17" t="str">
        <f>HYPERLINK("https://maps.google.com/?q=17.108633,-96.754686", "🔗 Ver Mapa")</f>
        <v>🔗 Ver Mapa</v>
      </c>
    </row>
    <row r="1097" spans="1:12" ht="58" x14ac:dyDescent="0.35">
      <c r="A1097" s="5" t="s">
        <v>7</v>
      </c>
      <c r="B1097" s="5" t="s">
        <v>20</v>
      </c>
      <c r="C1097" s="5" t="s">
        <v>555</v>
      </c>
      <c r="D1097" s="8" t="s">
        <v>67</v>
      </c>
      <c r="E1097" s="16" t="s">
        <v>75</v>
      </c>
      <c r="F1097" s="16" t="s">
        <v>86</v>
      </c>
      <c r="G1097" s="8" t="s">
        <v>103</v>
      </c>
      <c r="H1097" s="8" t="s">
        <v>125</v>
      </c>
      <c r="I1097" s="16" t="s">
        <v>138</v>
      </c>
      <c r="J1097" s="16">
        <v>17.112425999999999</v>
      </c>
      <c r="K1097" s="16">
        <v>-96.756624000000002</v>
      </c>
      <c r="L1097" s="16" t="str">
        <f>HYPERLINK("https://maps.google.com/?q=17.112426,-96.756624", "🔗 Ver Mapa")</f>
        <v>🔗 Ver Mapa</v>
      </c>
    </row>
    <row r="1098" spans="1:12" ht="58" x14ac:dyDescent="0.35">
      <c r="A1098" s="6" t="s">
        <v>7</v>
      </c>
      <c r="B1098" s="6" t="s">
        <v>20</v>
      </c>
      <c r="C1098" s="6" t="s">
        <v>555</v>
      </c>
      <c r="D1098" s="11" t="s">
        <v>67</v>
      </c>
      <c r="E1098" s="17" t="s">
        <v>75</v>
      </c>
      <c r="F1098" s="17" t="s">
        <v>86</v>
      </c>
      <c r="G1098" s="11" t="s">
        <v>103</v>
      </c>
      <c r="H1098" s="11" t="s">
        <v>125</v>
      </c>
      <c r="I1098" s="17" t="s">
        <v>138</v>
      </c>
      <c r="J1098" s="17">
        <v>17.112604999999999</v>
      </c>
      <c r="K1098" s="17">
        <v>-96.756444999999999</v>
      </c>
      <c r="L1098" s="17" t="str">
        <f>HYPERLINK("https://maps.google.com/?q=17.112605,-96.756445", "🔗 Ver Mapa")</f>
        <v>🔗 Ver Mapa</v>
      </c>
    </row>
    <row r="1099" spans="1:12" ht="58" x14ac:dyDescent="0.35">
      <c r="A1099" s="5" t="s">
        <v>7</v>
      </c>
      <c r="B1099" s="5" t="s">
        <v>20</v>
      </c>
      <c r="C1099" s="5" t="s">
        <v>555</v>
      </c>
      <c r="D1099" s="8" t="s">
        <v>67</v>
      </c>
      <c r="E1099" s="16" t="s">
        <v>75</v>
      </c>
      <c r="F1099" s="16" t="s">
        <v>86</v>
      </c>
      <c r="G1099" s="8" t="s">
        <v>103</v>
      </c>
      <c r="H1099" s="8" t="s">
        <v>125</v>
      </c>
      <c r="I1099" s="16" t="s">
        <v>138</v>
      </c>
      <c r="J1099" s="16">
        <v>17.115556999999999</v>
      </c>
      <c r="K1099" s="16">
        <v>-96.758808000000002</v>
      </c>
      <c r="L1099" s="16" t="str">
        <f>HYPERLINK("https://maps.google.com/?q=17.115557,-96.758808", "🔗 Ver Mapa")</f>
        <v>🔗 Ver Mapa</v>
      </c>
    </row>
    <row r="1100" spans="1:12" ht="58" x14ac:dyDescent="0.35">
      <c r="A1100" s="6" t="s">
        <v>7</v>
      </c>
      <c r="B1100" s="6" t="s">
        <v>20</v>
      </c>
      <c r="C1100" s="6" t="s">
        <v>555</v>
      </c>
      <c r="D1100" s="11" t="s">
        <v>67</v>
      </c>
      <c r="E1100" s="17" t="s">
        <v>75</v>
      </c>
      <c r="F1100" s="17" t="s">
        <v>86</v>
      </c>
      <c r="G1100" s="11" t="s">
        <v>103</v>
      </c>
      <c r="H1100" s="11" t="s">
        <v>125</v>
      </c>
      <c r="I1100" s="17" t="s">
        <v>138</v>
      </c>
      <c r="J1100" s="17">
        <v>17.115728000000001</v>
      </c>
      <c r="K1100" s="17">
        <v>-96.758570000000006</v>
      </c>
      <c r="L1100" s="17" t="str">
        <f>HYPERLINK("https://maps.google.com/?q=17.115728,-96.75857", "🔗 Ver Mapa")</f>
        <v>🔗 Ver Mapa</v>
      </c>
    </row>
    <row r="1101" spans="1:12" ht="58" x14ac:dyDescent="0.35">
      <c r="A1101" s="5" t="s">
        <v>7</v>
      </c>
      <c r="B1101" s="5" t="s">
        <v>20</v>
      </c>
      <c r="C1101" s="5" t="s">
        <v>555</v>
      </c>
      <c r="D1101" s="8" t="s">
        <v>67</v>
      </c>
      <c r="E1101" s="16" t="s">
        <v>75</v>
      </c>
      <c r="F1101" s="16" t="s">
        <v>86</v>
      </c>
      <c r="G1101" s="8" t="s">
        <v>103</v>
      </c>
      <c r="H1101" s="8" t="s">
        <v>125</v>
      </c>
      <c r="I1101" s="16" t="s">
        <v>138</v>
      </c>
      <c r="J1101" s="16">
        <v>17.118369999999999</v>
      </c>
      <c r="K1101" s="16">
        <v>-96.761159000000006</v>
      </c>
      <c r="L1101" s="16" t="str">
        <f>HYPERLINK("https://maps.google.com/?q=17.11837,-96.761159", "🔗 Ver Mapa")</f>
        <v>🔗 Ver Mapa</v>
      </c>
    </row>
    <row r="1102" spans="1:12" ht="58" x14ac:dyDescent="0.35">
      <c r="A1102" s="6" t="s">
        <v>7</v>
      </c>
      <c r="B1102" s="6" t="s">
        <v>20</v>
      </c>
      <c r="C1102" s="6" t="s">
        <v>555</v>
      </c>
      <c r="D1102" s="11" t="s">
        <v>67</v>
      </c>
      <c r="E1102" s="17" t="s">
        <v>75</v>
      </c>
      <c r="F1102" s="17" t="s">
        <v>86</v>
      </c>
      <c r="G1102" s="11" t="s">
        <v>103</v>
      </c>
      <c r="H1102" s="11" t="s">
        <v>125</v>
      </c>
      <c r="I1102" s="17" t="s">
        <v>138</v>
      </c>
      <c r="J1102" s="17">
        <v>17.118421000000001</v>
      </c>
      <c r="K1102" s="17">
        <v>-96.760848999999993</v>
      </c>
      <c r="L1102" s="17" t="str">
        <f>HYPERLINK("https://maps.google.com/?q=17.118421,-96.760849", "🔗 Ver Mapa")</f>
        <v>🔗 Ver Mapa</v>
      </c>
    </row>
    <row r="1103" spans="1:12" ht="58" x14ac:dyDescent="0.35">
      <c r="A1103" s="5" t="s">
        <v>7</v>
      </c>
      <c r="B1103" s="5" t="s">
        <v>20</v>
      </c>
      <c r="C1103" s="5" t="s">
        <v>555</v>
      </c>
      <c r="D1103" s="8" t="s">
        <v>67</v>
      </c>
      <c r="E1103" s="16" t="s">
        <v>75</v>
      </c>
      <c r="F1103" s="16" t="s">
        <v>86</v>
      </c>
      <c r="G1103" s="8" t="s">
        <v>103</v>
      </c>
      <c r="H1103" s="8" t="s">
        <v>125</v>
      </c>
      <c r="I1103" s="16" t="s">
        <v>138</v>
      </c>
      <c r="J1103" s="16">
        <v>17.121635000000001</v>
      </c>
      <c r="K1103" s="16">
        <v>-96.763847999999996</v>
      </c>
      <c r="L1103" s="16" t="str">
        <f>HYPERLINK("https://maps.google.com/?q=17.121635,-96.763848", "🔗 Ver Mapa")</f>
        <v>🔗 Ver Mapa</v>
      </c>
    </row>
    <row r="1104" spans="1:12" ht="58" x14ac:dyDescent="0.35">
      <c r="A1104" s="6" t="s">
        <v>7</v>
      </c>
      <c r="B1104" s="6" t="s">
        <v>20</v>
      </c>
      <c r="C1104" s="6" t="s">
        <v>555</v>
      </c>
      <c r="D1104" s="11" t="s">
        <v>67</v>
      </c>
      <c r="E1104" s="17" t="s">
        <v>75</v>
      </c>
      <c r="F1104" s="17" t="s">
        <v>86</v>
      </c>
      <c r="G1104" s="11" t="s">
        <v>103</v>
      </c>
      <c r="H1104" s="11" t="s">
        <v>125</v>
      </c>
      <c r="I1104" s="17" t="s">
        <v>138</v>
      </c>
      <c r="J1104" s="17">
        <v>17.122150000000001</v>
      </c>
      <c r="K1104" s="17">
        <v>-96.763819999999996</v>
      </c>
      <c r="L1104" s="17" t="str">
        <f>HYPERLINK("https://maps.google.com/?q=17.12215,-96.76382", "🔗 Ver Mapa")</f>
        <v>🔗 Ver Mapa</v>
      </c>
    </row>
    <row r="1105" spans="1:12" ht="43.5" x14ac:dyDescent="0.35">
      <c r="A1105" s="5" t="s">
        <v>7</v>
      </c>
      <c r="B1105" s="5" t="s">
        <v>20</v>
      </c>
      <c r="C1105" s="5" t="s">
        <v>556</v>
      </c>
      <c r="D1105" s="8" t="s">
        <v>67</v>
      </c>
      <c r="E1105" s="16" t="s">
        <v>75</v>
      </c>
      <c r="F1105" s="16" t="s">
        <v>86</v>
      </c>
      <c r="G1105" s="8" t="s">
        <v>557</v>
      </c>
      <c r="H1105" s="8" t="s">
        <v>558</v>
      </c>
      <c r="I1105" s="16" t="s">
        <v>138</v>
      </c>
      <c r="J1105" s="16">
        <v>17.048241999999998</v>
      </c>
      <c r="K1105" s="16">
        <v>-96.694959999999995</v>
      </c>
      <c r="L1105" s="16" t="str">
        <f>HYPERLINK("https://maps.google.com/?q=17.048242,-96.69496", "🔗 Ver Mapa")</f>
        <v>🔗 Ver Mapa</v>
      </c>
    </row>
    <row r="1106" spans="1:12" ht="43.5" x14ac:dyDescent="0.35">
      <c r="A1106" s="6" t="s">
        <v>7</v>
      </c>
      <c r="B1106" s="6" t="s">
        <v>20</v>
      </c>
      <c r="C1106" s="6" t="s">
        <v>556</v>
      </c>
      <c r="D1106" s="11" t="s">
        <v>67</v>
      </c>
      <c r="E1106" s="17" t="s">
        <v>75</v>
      </c>
      <c r="F1106" s="17" t="s">
        <v>86</v>
      </c>
      <c r="G1106" s="11" t="s">
        <v>557</v>
      </c>
      <c r="H1106" s="11" t="s">
        <v>558</v>
      </c>
      <c r="I1106" s="17" t="s">
        <v>138</v>
      </c>
      <c r="J1106" s="17">
        <v>17.055716</v>
      </c>
      <c r="K1106" s="17">
        <v>-96.692982999999998</v>
      </c>
      <c r="L1106" s="17" t="str">
        <f>HYPERLINK("https://maps.google.com/?q=17.055716,-96.692983", "🔗 Ver Mapa")</f>
        <v>🔗 Ver Mapa</v>
      </c>
    </row>
    <row r="1107" spans="1:12" ht="43.5" x14ac:dyDescent="0.35">
      <c r="A1107" s="5" t="s">
        <v>7</v>
      </c>
      <c r="B1107" s="5" t="s">
        <v>20</v>
      </c>
      <c r="C1107" s="5" t="s">
        <v>556</v>
      </c>
      <c r="D1107" s="8" t="s">
        <v>67</v>
      </c>
      <c r="E1107" s="16" t="s">
        <v>75</v>
      </c>
      <c r="F1107" s="16" t="s">
        <v>86</v>
      </c>
      <c r="G1107" s="8" t="s">
        <v>557</v>
      </c>
      <c r="H1107" s="8" t="s">
        <v>558</v>
      </c>
      <c r="I1107" s="16" t="s">
        <v>138</v>
      </c>
      <c r="J1107" s="16">
        <v>17.057434000000001</v>
      </c>
      <c r="K1107" s="16">
        <v>-96.709665999999999</v>
      </c>
      <c r="L1107" s="16" t="str">
        <f>HYPERLINK("https://maps.google.com/?q=17.057434,-96.709666", "🔗 Ver Mapa")</f>
        <v>🔗 Ver Mapa</v>
      </c>
    </row>
    <row r="1108" spans="1:12" ht="43.5" x14ac:dyDescent="0.35">
      <c r="A1108" s="6" t="s">
        <v>7</v>
      </c>
      <c r="B1108" s="6" t="s">
        <v>20</v>
      </c>
      <c r="C1108" s="6" t="s">
        <v>556</v>
      </c>
      <c r="D1108" s="11" t="s">
        <v>67</v>
      </c>
      <c r="E1108" s="17" t="s">
        <v>75</v>
      </c>
      <c r="F1108" s="17" t="s">
        <v>86</v>
      </c>
      <c r="G1108" s="11" t="s">
        <v>557</v>
      </c>
      <c r="H1108" s="11" t="s">
        <v>558</v>
      </c>
      <c r="I1108" s="17" t="s">
        <v>138</v>
      </c>
      <c r="J1108" s="17">
        <v>17.057936999999999</v>
      </c>
      <c r="K1108" s="17">
        <v>-96.686938999999995</v>
      </c>
      <c r="L1108" s="17" t="str">
        <f>HYPERLINK("https://maps.google.com/?q=17.057937,-96.686939", "🔗 Ver Mapa")</f>
        <v>🔗 Ver Mapa</v>
      </c>
    </row>
    <row r="1109" spans="1:12" ht="43.5" x14ac:dyDescent="0.35">
      <c r="A1109" s="5" t="s">
        <v>7</v>
      </c>
      <c r="B1109" s="5" t="s">
        <v>20</v>
      </c>
      <c r="C1109" s="5" t="s">
        <v>556</v>
      </c>
      <c r="D1109" s="8" t="s">
        <v>67</v>
      </c>
      <c r="E1109" s="16" t="s">
        <v>75</v>
      </c>
      <c r="F1109" s="16" t="s">
        <v>86</v>
      </c>
      <c r="G1109" s="8" t="s">
        <v>557</v>
      </c>
      <c r="H1109" s="8" t="s">
        <v>558</v>
      </c>
      <c r="I1109" s="16" t="s">
        <v>138</v>
      </c>
      <c r="J1109" s="16">
        <v>17.059919000000001</v>
      </c>
      <c r="K1109" s="16">
        <v>-96.692149999999998</v>
      </c>
      <c r="L1109" s="16" t="str">
        <f>HYPERLINK("https://maps.google.com/?q=17.059919,-96.69215", "🔗 Ver Mapa")</f>
        <v>🔗 Ver Mapa</v>
      </c>
    </row>
    <row r="1110" spans="1:12" ht="43.5" x14ac:dyDescent="0.35">
      <c r="A1110" s="6" t="s">
        <v>344</v>
      </c>
      <c r="B1110" s="6" t="s">
        <v>345</v>
      </c>
      <c r="C1110" s="6" t="s">
        <v>348</v>
      </c>
      <c r="D1110" s="11" t="s">
        <v>347</v>
      </c>
      <c r="E1110" s="17" t="s">
        <v>75</v>
      </c>
      <c r="F1110" s="17" t="s">
        <v>86</v>
      </c>
      <c r="G1110" s="11" t="s">
        <v>103</v>
      </c>
      <c r="H1110" s="11" t="s">
        <v>125</v>
      </c>
      <c r="I1110" s="17" t="s">
        <v>138</v>
      </c>
      <c r="J1110" s="17">
        <v>17.071544120502999</v>
      </c>
      <c r="K1110" s="17">
        <v>-96.715912270784997</v>
      </c>
      <c r="L1110" s="17" t="str">
        <f t="shared" ref="L1110:L1117" si="1">HYPERLINK("https://maps.google.com/?q=17.071544120503,-96.715912270785", "🔗 Ver Mapa")</f>
        <v>🔗 Ver Mapa</v>
      </c>
    </row>
    <row r="1111" spans="1:12" ht="43.5" x14ac:dyDescent="0.35">
      <c r="A1111" s="5" t="s">
        <v>344</v>
      </c>
      <c r="B1111" s="5" t="s">
        <v>345</v>
      </c>
      <c r="C1111" s="5" t="s">
        <v>350</v>
      </c>
      <c r="D1111" s="8" t="s">
        <v>347</v>
      </c>
      <c r="E1111" s="16" t="s">
        <v>75</v>
      </c>
      <c r="F1111" s="16" t="s">
        <v>86</v>
      </c>
      <c r="G1111" s="8" t="s">
        <v>103</v>
      </c>
      <c r="H1111" s="8" t="s">
        <v>125</v>
      </c>
      <c r="I1111" s="16" t="s">
        <v>138</v>
      </c>
      <c r="J1111" s="16">
        <v>17.071544120502999</v>
      </c>
      <c r="K1111" s="16">
        <v>-96.715912270784997</v>
      </c>
      <c r="L1111" s="16" t="str">
        <f t="shared" si="1"/>
        <v>🔗 Ver Mapa</v>
      </c>
    </row>
    <row r="1112" spans="1:12" ht="43.5" x14ac:dyDescent="0.35">
      <c r="A1112" s="6" t="s">
        <v>344</v>
      </c>
      <c r="B1112" s="6" t="s">
        <v>345</v>
      </c>
      <c r="C1112" s="6" t="s">
        <v>559</v>
      </c>
      <c r="D1112" s="11" t="s">
        <v>347</v>
      </c>
      <c r="E1112" s="17" t="s">
        <v>75</v>
      </c>
      <c r="F1112" s="17" t="s">
        <v>86</v>
      </c>
      <c r="G1112" s="11" t="s">
        <v>103</v>
      </c>
      <c r="H1112" s="11" t="s">
        <v>125</v>
      </c>
      <c r="I1112" s="17" t="s">
        <v>138</v>
      </c>
      <c r="J1112" s="17">
        <v>17.071544120502999</v>
      </c>
      <c r="K1112" s="17">
        <v>-96.715912270784997</v>
      </c>
      <c r="L1112" s="17" t="str">
        <f t="shared" si="1"/>
        <v>🔗 Ver Mapa</v>
      </c>
    </row>
    <row r="1113" spans="1:12" ht="43.5" x14ac:dyDescent="0.35">
      <c r="A1113" s="5" t="s">
        <v>344</v>
      </c>
      <c r="B1113" s="5" t="s">
        <v>345</v>
      </c>
      <c r="C1113" s="5" t="s">
        <v>354</v>
      </c>
      <c r="D1113" s="8" t="s">
        <v>347</v>
      </c>
      <c r="E1113" s="16" t="s">
        <v>75</v>
      </c>
      <c r="F1113" s="16" t="s">
        <v>86</v>
      </c>
      <c r="G1113" s="8" t="s">
        <v>103</v>
      </c>
      <c r="H1113" s="8" t="s">
        <v>125</v>
      </c>
      <c r="I1113" s="16" t="s">
        <v>138</v>
      </c>
      <c r="J1113" s="16">
        <v>17.071544120502999</v>
      </c>
      <c r="K1113" s="16">
        <v>-96.715912270784997</v>
      </c>
      <c r="L1113" s="16" t="str">
        <f t="shared" si="1"/>
        <v>🔗 Ver Mapa</v>
      </c>
    </row>
    <row r="1114" spans="1:12" ht="43.5" x14ac:dyDescent="0.35">
      <c r="A1114" s="6" t="s">
        <v>344</v>
      </c>
      <c r="B1114" s="6" t="s">
        <v>345</v>
      </c>
      <c r="C1114" s="6" t="s">
        <v>560</v>
      </c>
      <c r="D1114" s="11" t="s">
        <v>347</v>
      </c>
      <c r="E1114" s="17" t="s">
        <v>75</v>
      </c>
      <c r="F1114" s="17" t="s">
        <v>86</v>
      </c>
      <c r="G1114" s="11" t="s">
        <v>103</v>
      </c>
      <c r="H1114" s="11" t="s">
        <v>125</v>
      </c>
      <c r="I1114" s="17" t="s">
        <v>138</v>
      </c>
      <c r="J1114" s="17">
        <v>17.071544120502999</v>
      </c>
      <c r="K1114" s="17">
        <v>-96.715912270784997</v>
      </c>
      <c r="L1114" s="17" t="str">
        <f t="shared" si="1"/>
        <v>🔗 Ver Mapa</v>
      </c>
    </row>
    <row r="1115" spans="1:12" ht="72.5" x14ac:dyDescent="0.35">
      <c r="A1115" s="5" t="s">
        <v>344</v>
      </c>
      <c r="B1115" s="5" t="s">
        <v>345</v>
      </c>
      <c r="C1115" s="5" t="s">
        <v>561</v>
      </c>
      <c r="D1115" s="8" t="s">
        <v>347</v>
      </c>
      <c r="E1115" s="16" t="s">
        <v>75</v>
      </c>
      <c r="F1115" s="16" t="s">
        <v>86</v>
      </c>
      <c r="G1115" s="8" t="s">
        <v>103</v>
      </c>
      <c r="H1115" s="8" t="s">
        <v>125</v>
      </c>
      <c r="I1115" s="16" t="s">
        <v>138</v>
      </c>
      <c r="J1115" s="16">
        <v>17.071544120502999</v>
      </c>
      <c r="K1115" s="16">
        <v>-96.715912270784997</v>
      </c>
      <c r="L1115" s="16" t="str">
        <f t="shared" si="1"/>
        <v>🔗 Ver Mapa</v>
      </c>
    </row>
    <row r="1116" spans="1:12" ht="43.5" x14ac:dyDescent="0.35">
      <c r="A1116" s="6" t="s">
        <v>344</v>
      </c>
      <c r="B1116" s="6" t="s">
        <v>345</v>
      </c>
      <c r="C1116" s="6" t="s">
        <v>562</v>
      </c>
      <c r="D1116" s="11" t="s">
        <v>347</v>
      </c>
      <c r="E1116" s="17" t="s">
        <v>75</v>
      </c>
      <c r="F1116" s="17" t="s">
        <v>86</v>
      </c>
      <c r="G1116" s="11" t="s">
        <v>103</v>
      </c>
      <c r="H1116" s="11" t="s">
        <v>125</v>
      </c>
      <c r="I1116" s="17" t="s">
        <v>138</v>
      </c>
      <c r="J1116" s="17">
        <v>17.071544120502999</v>
      </c>
      <c r="K1116" s="17">
        <v>-96.715912270784997</v>
      </c>
      <c r="L1116" s="17" t="str">
        <f t="shared" si="1"/>
        <v>🔗 Ver Mapa</v>
      </c>
    </row>
    <row r="1117" spans="1:12" ht="43.5" x14ac:dyDescent="0.35">
      <c r="A1117" s="5" t="s">
        <v>344</v>
      </c>
      <c r="B1117" s="5" t="s">
        <v>345</v>
      </c>
      <c r="C1117" s="5" t="s">
        <v>372</v>
      </c>
      <c r="D1117" s="8" t="s">
        <v>347</v>
      </c>
      <c r="E1117" s="16" t="s">
        <v>75</v>
      </c>
      <c r="F1117" s="16" t="s">
        <v>86</v>
      </c>
      <c r="G1117" s="8" t="s">
        <v>103</v>
      </c>
      <c r="H1117" s="8" t="s">
        <v>125</v>
      </c>
      <c r="I1117" s="16" t="s">
        <v>138</v>
      </c>
      <c r="J1117" s="16">
        <v>17.071544120502999</v>
      </c>
      <c r="K1117" s="16">
        <v>-96.715912270784997</v>
      </c>
      <c r="L1117" s="16" t="str">
        <f t="shared" si="1"/>
        <v>🔗 Ver Mapa</v>
      </c>
    </row>
    <row r="1118" spans="1:12" ht="29" x14ac:dyDescent="0.35">
      <c r="A1118" s="6" t="s">
        <v>12</v>
      </c>
      <c r="B1118" s="6" t="s">
        <v>25</v>
      </c>
      <c r="C1118" s="6" t="s">
        <v>563</v>
      </c>
      <c r="D1118" s="11" t="s">
        <v>62</v>
      </c>
      <c r="E1118" s="17" t="s">
        <v>75</v>
      </c>
      <c r="F1118" s="17" t="s">
        <v>86</v>
      </c>
      <c r="G1118" s="11" t="s">
        <v>418</v>
      </c>
      <c r="H1118" s="11" t="s">
        <v>419</v>
      </c>
      <c r="I1118" s="17" t="s">
        <v>138</v>
      </c>
      <c r="J1118" s="17">
        <v>17.054934481114</v>
      </c>
      <c r="K1118" s="17">
        <v>-96.653986180651998</v>
      </c>
      <c r="L1118" s="17" t="str">
        <f>HYPERLINK("https://maps.google.com/?q=17.054934481114,-96.653986180652", "🔗 Ver Mapa")</f>
        <v>🔗 Ver Mapa</v>
      </c>
    </row>
    <row r="1119" spans="1:12" ht="58" x14ac:dyDescent="0.35">
      <c r="A1119" s="5" t="s">
        <v>564</v>
      </c>
      <c r="B1119" s="5" t="s">
        <v>565</v>
      </c>
      <c r="C1119" s="5" t="s">
        <v>566</v>
      </c>
      <c r="D1119" s="8" t="s">
        <v>347</v>
      </c>
      <c r="E1119" s="16" t="s">
        <v>75</v>
      </c>
      <c r="F1119" s="16" t="s">
        <v>86</v>
      </c>
      <c r="G1119" s="8" t="s">
        <v>103</v>
      </c>
      <c r="H1119" s="8" t="s">
        <v>125</v>
      </c>
      <c r="I1119" s="16" t="s">
        <v>138</v>
      </c>
      <c r="J1119" s="16">
        <v>17.050591666667</v>
      </c>
      <c r="K1119" s="16">
        <v>-96.723063888889001</v>
      </c>
      <c r="L1119" s="16" t="str">
        <f>HYPERLINK("https://maps.google.com/?q=17.050591666667,-96.723063888889", "🔗 Ver Mapa")</f>
        <v>🔗 Ver Mapa</v>
      </c>
    </row>
    <row r="1120" spans="1:12" ht="43.5" x14ac:dyDescent="0.35">
      <c r="A1120" s="6" t="s">
        <v>564</v>
      </c>
      <c r="B1120" s="6" t="s">
        <v>565</v>
      </c>
      <c r="C1120" s="6" t="s">
        <v>567</v>
      </c>
      <c r="D1120" s="11" t="s">
        <v>347</v>
      </c>
      <c r="E1120" s="17" t="s">
        <v>75</v>
      </c>
      <c r="F1120" s="17" t="s">
        <v>86</v>
      </c>
      <c r="G1120" s="11" t="s">
        <v>103</v>
      </c>
      <c r="H1120" s="11" t="s">
        <v>125</v>
      </c>
      <c r="I1120" s="17" t="s">
        <v>138</v>
      </c>
      <c r="J1120" s="17">
        <v>17.050591666667</v>
      </c>
      <c r="K1120" s="17">
        <v>-96.723063888889001</v>
      </c>
      <c r="L1120" s="17" t="str">
        <f>HYPERLINK("https://maps.google.com/?q=17.050591666667,-96.723063888889", "🔗 Ver Mapa")</f>
        <v>🔗 Ver Mapa</v>
      </c>
    </row>
    <row r="1121" spans="1:12" ht="58" x14ac:dyDescent="0.35">
      <c r="A1121" s="5" t="s">
        <v>564</v>
      </c>
      <c r="B1121" s="5" t="s">
        <v>565</v>
      </c>
      <c r="C1121" s="5" t="s">
        <v>568</v>
      </c>
      <c r="D1121" s="8" t="s">
        <v>347</v>
      </c>
      <c r="E1121" s="16" t="s">
        <v>75</v>
      </c>
      <c r="F1121" s="16" t="s">
        <v>86</v>
      </c>
      <c r="G1121" s="8" t="s">
        <v>103</v>
      </c>
      <c r="H1121" s="8" t="s">
        <v>125</v>
      </c>
      <c r="I1121" s="16" t="s">
        <v>138</v>
      </c>
      <c r="J1121" s="16">
        <v>17.050591666667</v>
      </c>
      <c r="K1121" s="16">
        <v>-96.723063888889001</v>
      </c>
      <c r="L1121" s="16" t="str">
        <f>HYPERLINK("https://maps.google.com/?q=17.050591666667,-96.723063888889", "🔗 Ver Mapa")</f>
        <v>🔗 Ver Mapa</v>
      </c>
    </row>
    <row r="1122" spans="1:12" ht="29" x14ac:dyDescent="0.35">
      <c r="A1122" s="6" t="s">
        <v>569</v>
      </c>
      <c r="B1122" s="6" t="s">
        <v>570</v>
      </c>
      <c r="C1122" s="6" t="s">
        <v>571</v>
      </c>
      <c r="D1122" s="11" t="s">
        <v>68</v>
      </c>
      <c r="E1122" s="17" t="s">
        <v>75</v>
      </c>
      <c r="F1122" s="17" t="s">
        <v>86</v>
      </c>
      <c r="G1122" s="11" t="s">
        <v>103</v>
      </c>
      <c r="H1122" s="11" t="s">
        <v>125</v>
      </c>
      <c r="I1122" s="17" t="s">
        <v>138</v>
      </c>
      <c r="J1122" s="17">
        <v>17.068543999999999</v>
      </c>
      <c r="K1122" s="17">
        <v>-96.720280000000002</v>
      </c>
      <c r="L1122" s="17" t="str">
        <f>HYPERLINK("https://maps.google.com/?q=17.068544,-96.72028", "🔗 Ver Mapa")</f>
        <v>🔗 Ver Mapa</v>
      </c>
    </row>
    <row r="1123" spans="1:12" ht="29" x14ac:dyDescent="0.35">
      <c r="A1123" s="5" t="s">
        <v>569</v>
      </c>
      <c r="B1123" s="5" t="s">
        <v>570</v>
      </c>
      <c r="C1123" s="5" t="s">
        <v>572</v>
      </c>
      <c r="D1123" s="8" t="s">
        <v>68</v>
      </c>
      <c r="E1123" s="16" t="s">
        <v>74</v>
      </c>
      <c r="F1123" s="16" t="s">
        <v>89</v>
      </c>
      <c r="G1123" s="8" t="s">
        <v>108</v>
      </c>
      <c r="H1123" s="8" t="s">
        <v>573</v>
      </c>
      <c r="I1123" s="16" t="s">
        <v>138</v>
      </c>
      <c r="J1123" s="16">
        <v>15.666373</v>
      </c>
      <c r="K1123" s="16">
        <v>-96.492046999999999</v>
      </c>
      <c r="L1123" s="16" t="str">
        <f>HYPERLINK("https://maps.google.com/?q=15.666373,-96.492047", "🔗 Ver Mapa")</f>
        <v>🔗 Ver Mapa</v>
      </c>
    </row>
    <row r="1124" spans="1:12" ht="29" x14ac:dyDescent="0.35">
      <c r="A1124" s="6" t="s">
        <v>574</v>
      </c>
      <c r="B1124" s="6" t="s">
        <v>575</v>
      </c>
      <c r="C1124" s="6" t="s">
        <v>576</v>
      </c>
      <c r="D1124" s="11" t="s">
        <v>62</v>
      </c>
      <c r="E1124" s="17" t="s">
        <v>75</v>
      </c>
      <c r="F1124" s="17" t="s">
        <v>86</v>
      </c>
      <c r="G1124" s="11" t="s">
        <v>103</v>
      </c>
      <c r="H1124" s="11" t="s">
        <v>125</v>
      </c>
      <c r="I1124" s="17" t="s">
        <v>138</v>
      </c>
      <c r="J1124" s="17">
        <v>17.078447594107999</v>
      </c>
      <c r="K1124" s="17">
        <v>-96.711226860438998</v>
      </c>
      <c r="L1124" s="17" t="str">
        <f>HYPERLINK("https://maps.google.com/?q=17.078447594108,-96.711226860439", "🔗 Ver Mapa")</f>
        <v>🔗 Ver Mapa</v>
      </c>
    </row>
    <row r="1125" spans="1:12" ht="29" x14ac:dyDescent="0.35">
      <c r="A1125" s="5" t="s">
        <v>574</v>
      </c>
      <c r="B1125" s="5" t="s">
        <v>575</v>
      </c>
      <c r="C1125" s="5" t="s">
        <v>576</v>
      </c>
      <c r="D1125" s="8" t="s">
        <v>62</v>
      </c>
      <c r="E1125" s="16" t="s">
        <v>75</v>
      </c>
      <c r="F1125" s="16" t="s">
        <v>86</v>
      </c>
      <c r="G1125" s="8" t="s">
        <v>103</v>
      </c>
      <c r="H1125" s="8" t="s">
        <v>125</v>
      </c>
      <c r="I1125" s="16" t="s">
        <v>138</v>
      </c>
      <c r="J1125" s="16">
        <v>17.078447594107999</v>
      </c>
      <c r="K1125" s="16">
        <v>-96.711226860438998</v>
      </c>
      <c r="L1125" s="16" t="str">
        <f>HYPERLINK("https://maps.google.com/?q=17.078447594108,-96.711226860439", "🔗 Ver Mapa")</f>
        <v>🔗 Ver Mapa</v>
      </c>
    </row>
    <row r="1126" spans="1:12" ht="29" x14ac:dyDescent="0.35">
      <c r="A1126" s="6" t="s">
        <v>574</v>
      </c>
      <c r="B1126" s="6" t="s">
        <v>575</v>
      </c>
      <c r="C1126" s="6" t="s">
        <v>576</v>
      </c>
      <c r="D1126" s="11" t="s">
        <v>62</v>
      </c>
      <c r="E1126" s="17" t="s">
        <v>75</v>
      </c>
      <c r="F1126" s="17" t="s">
        <v>86</v>
      </c>
      <c r="G1126" s="11" t="s">
        <v>103</v>
      </c>
      <c r="H1126" s="11" t="s">
        <v>125</v>
      </c>
      <c r="I1126" s="17" t="s">
        <v>138</v>
      </c>
      <c r="J1126" s="17">
        <v>17.078447594107999</v>
      </c>
      <c r="K1126" s="17">
        <v>-96.711226860438998</v>
      </c>
      <c r="L1126" s="17" t="str">
        <f>HYPERLINK("https://maps.google.com/?q=17.078447594108,-96.711226860439", "🔗 Ver Mapa")</f>
        <v>🔗 Ver Mapa</v>
      </c>
    </row>
    <row r="1127" spans="1:12" ht="43.5" x14ac:dyDescent="0.35">
      <c r="A1127" s="5" t="s">
        <v>414</v>
      </c>
      <c r="B1127" s="5" t="s">
        <v>415</v>
      </c>
      <c r="C1127" s="5" t="s">
        <v>577</v>
      </c>
      <c r="D1127" s="8" t="s">
        <v>417</v>
      </c>
      <c r="E1127" s="16" t="s">
        <v>75</v>
      </c>
      <c r="F1127" s="16" t="s">
        <v>86</v>
      </c>
      <c r="G1127" s="8" t="s">
        <v>112</v>
      </c>
      <c r="H1127" s="8" t="s">
        <v>295</v>
      </c>
      <c r="I1127" s="16" t="s">
        <v>138</v>
      </c>
      <c r="J1127" s="16">
        <v>17.027353311909</v>
      </c>
      <c r="K1127" s="16">
        <v>-96.734444646233001</v>
      </c>
      <c r="L1127" s="16" t="str">
        <f>HYPERLINK("https://maps.google.com/?q=17.027353311909,-96.734444646233", "🔗 Ver Mapa")</f>
        <v>🔗 Ver Mapa</v>
      </c>
    </row>
    <row r="1128" spans="1:12" ht="43.5" x14ac:dyDescent="0.35">
      <c r="A1128" s="6" t="s">
        <v>414</v>
      </c>
      <c r="B1128" s="6" t="s">
        <v>415</v>
      </c>
      <c r="C1128" s="6" t="s">
        <v>578</v>
      </c>
      <c r="D1128" s="11" t="s">
        <v>417</v>
      </c>
      <c r="E1128" s="17" t="s">
        <v>74</v>
      </c>
      <c r="F1128" s="17" t="s">
        <v>82</v>
      </c>
      <c r="G1128" s="11" t="s">
        <v>579</v>
      </c>
      <c r="H1128" s="11" t="s">
        <v>580</v>
      </c>
      <c r="I1128" s="17" t="s">
        <v>138</v>
      </c>
      <c r="J1128" s="17">
        <v>16.339011658674</v>
      </c>
      <c r="K1128" s="17">
        <v>-98.050329906656003</v>
      </c>
      <c r="L1128" s="17" t="str">
        <f>HYPERLINK("https://maps.google.com/?q=16.339011658674,-98.050329906656", "🔗 Ver Mapa")</f>
        <v>🔗 Ver Mapa</v>
      </c>
    </row>
    <row r="1129" spans="1:12" ht="43.5" x14ac:dyDescent="0.35">
      <c r="A1129" s="5" t="s">
        <v>414</v>
      </c>
      <c r="B1129" s="5" t="s">
        <v>415</v>
      </c>
      <c r="C1129" s="5" t="s">
        <v>581</v>
      </c>
      <c r="D1129" s="8" t="s">
        <v>417</v>
      </c>
      <c r="E1129" s="16" t="s">
        <v>287</v>
      </c>
      <c r="F1129" s="16" t="s">
        <v>288</v>
      </c>
      <c r="G1129" s="8" t="s">
        <v>582</v>
      </c>
      <c r="H1129" s="8" t="s">
        <v>583</v>
      </c>
      <c r="I1129" s="16" t="s">
        <v>138</v>
      </c>
      <c r="J1129" s="16">
        <v>18.539171697093</v>
      </c>
      <c r="K1129" s="16">
        <v>-96.607294509891005</v>
      </c>
      <c r="L1129" s="16" t="str">
        <f>HYPERLINK("https://maps.google.com/?q=18.539171697093,-96.607294509891", "🔗 Ver Mapa")</f>
        <v>🔗 Ver Mapa</v>
      </c>
    </row>
    <row r="1130" spans="1:12" ht="43.5" x14ac:dyDescent="0.35">
      <c r="A1130" s="6" t="s">
        <v>414</v>
      </c>
      <c r="B1130" s="6" t="s">
        <v>415</v>
      </c>
      <c r="C1130" s="6" t="s">
        <v>584</v>
      </c>
      <c r="D1130" s="11" t="s">
        <v>417</v>
      </c>
      <c r="E1130" s="17" t="s">
        <v>73</v>
      </c>
      <c r="F1130" s="17" t="s">
        <v>585</v>
      </c>
      <c r="G1130" s="11" t="s">
        <v>586</v>
      </c>
      <c r="H1130" s="11" t="s">
        <v>587</v>
      </c>
      <c r="I1130" s="17" t="s">
        <v>138</v>
      </c>
      <c r="J1130" s="17">
        <v>17.335240598708999</v>
      </c>
      <c r="K1130" s="17">
        <v>-98.011998799793005</v>
      </c>
      <c r="L1130" s="17" t="str">
        <f>HYPERLINK("https://maps.google.com/?q=17.335240598709,-98.011998799793", "🔗 Ver Mapa")</f>
        <v>🔗 Ver Mapa</v>
      </c>
    </row>
    <row r="1131" spans="1:12" ht="43.5" x14ac:dyDescent="0.35">
      <c r="A1131" s="5" t="s">
        <v>414</v>
      </c>
      <c r="B1131" s="5" t="s">
        <v>415</v>
      </c>
      <c r="C1131" s="5" t="s">
        <v>588</v>
      </c>
      <c r="D1131" s="8" t="s">
        <v>417</v>
      </c>
      <c r="E1131" s="16" t="s">
        <v>79</v>
      </c>
      <c r="F1131" s="16" t="s">
        <v>91</v>
      </c>
      <c r="G1131" s="8" t="s">
        <v>110</v>
      </c>
      <c r="H1131" s="8" t="s">
        <v>589</v>
      </c>
      <c r="I1131" s="16" t="s">
        <v>139</v>
      </c>
      <c r="J1131" s="16">
        <v>16.514945715563002</v>
      </c>
      <c r="K1131" s="16">
        <v>-96.978636317791</v>
      </c>
      <c r="L1131" s="16" t="str">
        <f>HYPERLINK("https://maps.google.com/?q=16.514945715563,-96.978636317791", "🔗 Ver Mapa")</f>
        <v>🔗 Ver Mapa</v>
      </c>
    </row>
    <row r="1132" spans="1:12" ht="43.5" x14ac:dyDescent="0.35">
      <c r="A1132" s="6" t="s">
        <v>414</v>
      </c>
      <c r="B1132" s="6" t="s">
        <v>415</v>
      </c>
      <c r="C1132" s="6" t="s">
        <v>590</v>
      </c>
      <c r="D1132" s="11" t="s">
        <v>417</v>
      </c>
      <c r="E1132" s="17" t="s">
        <v>77</v>
      </c>
      <c r="F1132" s="17" t="s">
        <v>88</v>
      </c>
      <c r="G1132" s="11" t="s">
        <v>107</v>
      </c>
      <c r="H1132" s="11" t="s">
        <v>129</v>
      </c>
      <c r="I1132" s="17" t="s">
        <v>139</v>
      </c>
      <c r="J1132" s="17">
        <v>16.432458415269998</v>
      </c>
      <c r="K1132" s="17">
        <v>-95.023690161919006</v>
      </c>
      <c r="L1132" s="17" t="str">
        <f>HYPERLINK("https://maps.google.com/?q=16.43245841527,-95.023690161919", "🔗 Ver Mapa")</f>
        <v>🔗 Ver Mapa</v>
      </c>
    </row>
    <row r="1133" spans="1:12" ht="43.5" x14ac:dyDescent="0.35">
      <c r="A1133" s="5" t="s">
        <v>291</v>
      </c>
      <c r="B1133" s="5" t="s">
        <v>292</v>
      </c>
      <c r="C1133" s="5" t="s">
        <v>591</v>
      </c>
      <c r="D1133" s="8" t="s">
        <v>64</v>
      </c>
      <c r="E1133" s="16" t="s">
        <v>75</v>
      </c>
      <c r="F1133" s="16" t="s">
        <v>86</v>
      </c>
      <c r="G1133" s="8" t="s">
        <v>103</v>
      </c>
      <c r="H1133" s="8" t="s">
        <v>125</v>
      </c>
      <c r="I1133" s="16" t="s">
        <v>138</v>
      </c>
      <c r="J1133" s="16">
        <v>17.050305000000002</v>
      </c>
      <c r="K1133" s="16">
        <v>-96.732418999999993</v>
      </c>
      <c r="L1133" s="16" t="str">
        <f>HYPERLINK("https://maps.google.com/?q=17.050305,-96.732419", "🔗 Ver Mapa")</f>
        <v>🔗 Ver Mapa</v>
      </c>
    </row>
    <row r="1134" spans="1:12" ht="43.5" x14ac:dyDescent="0.35">
      <c r="A1134" s="6" t="s">
        <v>291</v>
      </c>
      <c r="B1134" s="6" t="s">
        <v>292</v>
      </c>
      <c r="C1134" s="6" t="s">
        <v>592</v>
      </c>
      <c r="D1134" s="11" t="s">
        <v>64</v>
      </c>
      <c r="E1134" s="17" t="s">
        <v>75</v>
      </c>
      <c r="F1134" s="17" t="s">
        <v>86</v>
      </c>
      <c r="G1134" s="11" t="s">
        <v>112</v>
      </c>
      <c r="H1134" s="11" t="s">
        <v>295</v>
      </c>
      <c r="I1134" s="17" t="s">
        <v>138</v>
      </c>
      <c r="J1134" s="17">
        <v>17.017369649999999</v>
      </c>
      <c r="K1134" s="17">
        <v>-96.71840761</v>
      </c>
      <c r="L1134" s="17" t="str">
        <f>HYPERLINK("https://maps.google.com/?q=17.01736965,-96.71840761", "🔗 Ver Mapa")</f>
        <v>🔗 Ver Mapa</v>
      </c>
    </row>
    <row r="1135" spans="1:12" ht="29" x14ac:dyDescent="0.35">
      <c r="A1135" s="5" t="s">
        <v>593</v>
      </c>
      <c r="B1135" s="5" t="s">
        <v>594</v>
      </c>
      <c r="C1135" s="5" t="s">
        <v>595</v>
      </c>
      <c r="D1135" s="8" t="s">
        <v>62</v>
      </c>
      <c r="E1135" s="16" t="s">
        <v>75</v>
      </c>
      <c r="F1135" s="16" t="s">
        <v>86</v>
      </c>
      <c r="G1135" s="8" t="s">
        <v>557</v>
      </c>
      <c r="H1135" s="8" t="s">
        <v>558</v>
      </c>
      <c r="I1135" s="16" t="s">
        <v>138</v>
      </c>
      <c r="J1135" s="16">
        <v>17.065867999999998</v>
      </c>
      <c r="K1135" s="16">
        <v>-96.693758200000005</v>
      </c>
      <c r="L1135" s="16" t="str">
        <f>HYPERLINK("https://maps.google.com/?q=17.065868,-96.6937582", "🔗 Ver Mapa")</f>
        <v>🔗 Ver Mapa</v>
      </c>
    </row>
    <row r="1136" spans="1:12" ht="43.5" x14ac:dyDescent="0.35">
      <c r="A1136" s="6" t="s">
        <v>10</v>
      </c>
      <c r="B1136" s="6" t="s">
        <v>23</v>
      </c>
      <c r="C1136" s="6" t="s">
        <v>596</v>
      </c>
      <c r="D1136" s="11" t="s">
        <v>70</v>
      </c>
      <c r="E1136" s="17" t="s">
        <v>75</v>
      </c>
      <c r="F1136" s="17" t="s">
        <v>86</v>
      </c>
      <c r="G1136" s="11" t="s">
        <v>103</v>
      </c>
      <c r="H1136" s="11" t="s">
        <v>134</v>
      </c>
      <c r="I1136" s="17" t="s">
        <v>138</v>
      </c>
      <c r="J1136" s="17">
        <v>17.126349585836</v>
      </c>
      <c r="K1136" s="17">
        <v>-96.767935762613007</v>
      </c>
      <c r="L1136" s="17" t="str">
        <f>HYPERLINK("https://maps.google.com/?q=17.126349585836,-96.767935762613", "🔗 Ver Mapa")</f>
        <v>🔗 Ver Mapa</v>
      </c>
    </row>
    <row r="1137" spans="1:12" ht="43.5" x14ac:dyDescent="0.35">
      <c r="A1137" s="5" t="s">
        <v>7</v>
      </c>
      <c r="B1137" s="5" t="s">
        <v>20</v>
      </c>
      <c r="C1137" s="5" t="s">
        <v>597</v>
      </c>
      <c r="D1137" s="8" t="s">
        <v>67</v>
      </c>
      <c r="E1137" s="16" t="s">
        <v>75</v>
      </c>
      <c r="F1137" s="16" t="s">
        <v>86</v>
      </c>
      <c r="G1137" s="8" t="s">
        <v>598</v>
      </c>
      <c r="H1137" s="8" t="s">
        <v>599</v>
      </c>
      <c r="I1137" s="16" t="s">
        <v>138</v>
      </c>
      <c r="J1137" s="16">
        <v>17.031669000000001</v>
      </c>
      <c r="K1137" s="16">
        <v>-96.718699999999998</v>
      </c>
      <c r="L1137" s="16" t="str">
        <f>HYPERLINK("https://maps.google.com/?q=17.031669,-96.7187", "🔗 Ver Mapa")</f>
        <v>🔗 Ver Mapa</v>
      </c>
    </row>
    <row r="1138" spans="1:12" ht="43.5" x14ac:dyDescent="0.35">
      <c r="A1138" s="6" t="s">
        <v>7</v>
      </c>
      <c r="B1138" s="6" t="s">
        <v>20</v>
      </c>
      <c r="C1138" s="6" t="s">
        <v>597</v>
      </c>
      <c r="D1138" s="11" t="s">
        <v>67</v>
      </c>
      <c r="E1138" s="17" t="s">
        <v>75</v>
      </c>
      <c r="F1138" s="17" t="s">
        <v>86</v>
      </c>
      <c r="G1138" s="11" t="s">
        <v>598</v>
      </c>
      <c r="H1138" s="11" t="s">
        <v>599</v>
      </c>
      <c r="I1138" s="17" t="s">
        <v>138</v>
      </c>
      <c r="J1138" s="17">
        <v>17.046799</v>
      </c>
      <c r="K1138" s="17">
        <v>-96.729403000000005</v>
      </c>
      <c r="L1138" s="17" t="str">
        <f>HYPERLINK("https://maps.google.com/?q=17.046799,-96.729403", "🔗 Ver Mapa")</f>
        <v>🔗 Ver Mapa</v>
      </c>
    </row>
    <row r="1139" spans="1:12" ht="43.5" x14ac:dyDescent="0.35">
      <c r="A1139" s="5" t="s">
        <v>7</v>
      </c>
      <c r="B1139" s="5" t="s">
        <v>20</v>
      </c>
      <c r="C1139" s="5" t="s">
        <v>597</v>
      </c>
      <c r="D1139" s="8" t="s">
        <v>67</v>
      </c>
      <c r="E1139" s="16" t="s">
        <v>75</v>
      </c>
      <c r="F1139" s="16" t="s">
        <v>86</v>
      </c>
      <c r="G1139" s="8" t="s">
        <v>598</v>
      </c>
      <c r="H1139" s="8" t="s">
        <v>599</v>
      </c>
      <c r="I1139" s="16" t="s">
        <v>138</v>
      </c>
      <c r="J1139" s="16">
        <v>17.065439999999999</v>
      </c>
      <c r="K1139" s="16">
        <v>-96.740222000000003</v>
      </c>
      <c r="L1139" s="16" t="str">
        <f>HYPERLINK("https://maps.google.com/?q=17.06544,-96.740222", "🔗 Ver Mapa")</f>
        <v>🔗 Ver Mapa</v>
      </c>
    </row>
    <row r="1140" spans="1:12" ht="43.5" x14ac:dyDescent="0.35">
      <c r="A1140" s="6" t="s">
        <v>10</v>
      </c>
      <c r="B1140" s="6" t="s">
        <v>23</v>
      </c>
      <c r="C1140" s="6" t="s">
        <v>600</v>
      </c>
      <c r="D1140" s="11" t="s">
        <v>70</v>
      </c>
      <c r="E1140" s="17" t="s">
        <v>75</v>
      </c>
      <c r="F1140" s="17" t="s">
        <v>86</v>
      </c>
      <c r="G1140" s="11" t="s">
        <v>103</v>
      </c>
      <c r="H1140" s="11" t="s">
        <v>134</v>
      </c>
      <c r="I1140" s="17" t="s">
        <v>138</v>
      </c>
      <c r="J1140" s="17">
        <v>17.126449999999998</v>
      </c>
      <c r="K1140" s="17">
        <v>-96.768180000000001</v>
      </c>
      <c r="L1140" s="17" t="str">
        <f>HYPERLINK("https://maps.google.com/?q=17.12645,-96.76818", "🔗 Ver Mapa")</f>
        <v>🔗 Ver Mapa</v>
      </c>
    </row>
    <row r="1141" spans="1:12" ht="43.5" x14ac:dyDescent="0.35">
      <c r="A1141" s="5" t="s">
        <v>414</v>
      </c>
      <c r="B1141" s="5" t="s">
        <v>415</v>
      </c>
      <c r="C1141" s="5" t="s">
        <v>601</v>
      </c>
      <c r="D1141" s="8" t="s">
        <v>417</v>
      </c>
      <c r="E1141" s="16" t="s">
        <v>75</v>
      </c>
      <c r="F1141" s="16" t="s">
        <v>86</v>
      </c>
      <c r="G1141" s="8" t="s">
        <v>557</v>
      </c>
      <c r="H1141" s="8" t="s">
        <v>558</v>
      </c>
      <c r="I1141" s="16" t="s">
        <v>138</v>
      </c>
      <c r="J1141" s="16">
        <v>17.064121612587002</v>
      </c>
      <c r="K1141" s="16">
        <v>-96.704081322714998</v>
      </c>
      <c r="L1141" s="16" t="str">
        <f>HYPERLINK("https://maps.google.com/?q=17.064121612587,-96.704081322715", "🔗 Ver Mapa")</f>
        <v>🔗 Ver Mapa</v>
      </c>
    </row>
    <row r="1142" spans="1:12" ht="58" x14ac:dyDescent="0.35">
      <c r="A1142" s="6" t="s">
        <v>602</v>
      </c>
      <c r="B1142" s="6" t="s">
        <v>603</v>
      </c>
      <c r="C1142" s="6" t="s">
        <v>604</v>
      </c>
      <c r="D1142" s="11" t="s">
        <v>65</v>
      </c>
      <c r="E1142" s="17" t="s">
        <v>75</v>
      </c>
      <c r="F1142" s="17" t="s">
        <v>86</v>
      </c>
      <c r="G1142" s="11" t="s">
        <v>379</v>
      </c>
      <c r="H1142" s="11" t="s">
        <v>380</v>
      </c>
      <c r="I1142" s="17" t="s">
        <v>138</v>
      </c>
      <c r="J1142" s="17">
        <v>17.076800372569</v>
      </c>
      <c r="K1142" s="17">
        <v>-96.747194621109998</v>
      </c>
      <c r="L1142" s="17" t="str">
        <f>HYPERLINK("https://maps.google.com/?q=17.076800372569,-96.74719462111", "🔗 Ver Mapa")</f>
        <v>🔗 Ver Mapa</v>
      </c>
    </row>
    <row r="1143" spans="1:12" ht="58" x14ac:dyDescent="0.35">
      <c r="A1143" s="5" t="s">
        <v>5</v>
      </c>
      <c r="B1143" s="5" t="s">
        <v>18</v>
      </c>
      <c r="C1143" s="5" t="s">
        <v>605</v>
      </c>
      <c r="D1143" s="8" t="s">
        <v>62</v>
      </c>
      <c r="E1143" s="16" t="s">
        <v>75</v>
      </c>
      <c r="F1143" s="16" t="s">
        <v>86</v>
      </c>
      <c r="G1143" s="8" t="s">
        <v>103</v>
      </c>
      <c r="H1143" s="8" t="s">
        <v>125</v>
      </c>
      <c r="I1143" s="16" t="s">
        <v>138</v>
      </c>
      <c r="J1143" s="16">
        <v>17.051308242516999</v>
      </c>
      <c r="K1143" s="16">
        <v>-96.731365378196998</v>
      </c>
      <c r="L1143" s="16" t="str">
        <f>HYPERLINK("https://maps.google.com/?q=17.051308242517,-96.731365378197", "🔗 Ver Mapa")</f>
        <v>🔗 Ver Mapa</v>
      </c>
    </row>
    <row r="1144" spans="1:12" ht="29" x14ac:dyDescent="0.35">
      <c r="A1144" s="6" t="s">
        <v>569</v>
      </c>
      <c r="B1144" s="6" t="s">
        <v>570</v>
      </c>
      <c r="C1144" s="6" t="s">
        <v>606</v>
      </c>
      <c r="D1144" s="11" t="s">
        <v>68</v>
      </c>
      <c r="E1144" s="17" t="s">
        <v>75</v>
      </c>
      <c r="F1144" s="17" t="s">
        <v>86</v>
      </c>
      <c r="G1144" s="11" t="s">
        <v>103</v>
      </c>
      <c r="H1144" s="11" t="s">
        <v>125</v>
      </c>
      <c r="I1144" s="17" t="s">
        <v>138</v>
      </c>
      <c r="J1144" s="17">
        <v>17.068612000000002</v>
      </c>
      <c r="K1144" s="17">
        <v>-96.730753000000007</v>
      </c>
      <c r="L1144" s="17" t="str">
        <f>HYPERLINK("https://maps.google.com/?q=17.068612,-96.730753", "🔗 Ver Mapa")</f>
        <v>🔗 Ver Mapa</v>
      </c>
    </row>
    <row r="1145" spans="1:12" ht="29" x14ac:dyDescent="0.35">
      <c r="A1145" s="5" t="s">
        <v>607</v>
      </c>
      <c r="B1145" s="5" t="s">
        <v>608</v>
      </c>
      <c r="C1145" s="5" t="s">
        <v>609</v>
      </c>
      <c r="D1145" s="8" t="s">
        <v>70</v>
      </c>
      <c r="E1145" s="16" t="s">
        <v>75</v>
      </c>
      <c r="F1145" s="16" t="s">
        <v>86</v>
      </c>
      <c r="G1145" s="8" t="s">
        <v>103</v>
      </c>
      <c r="H1145" s="8" t="s">
        <v>125</v>
      </c>
      <c r="I1145" s="16" t="s">
        <v>138</v>
      </c>
      <c r="J1145" s="16">
        <v>17.062750514323</v>
      </c>
      <c r="K1145" s="16">
        <v>-96.723341230814995</v>
      </c>
      <c r="L1145" s="16" t="str">
        <f>HYPERLINK("https://maps.google.com/?q=17.062750514323,-96.723341230815", "🔗 Ver Mapa")</f>
        <v>🔗 Ver Mapa</v>
      </c>
    </row>
    <row r="1146" spans="1:12" ht="58" x14ac:dyDescent="0.35">
      <c r="A1146" s="6" t="s">
        <v>7</v>
      </c>
      <c r="B1146" s="6" t="s">
        <v>20</v>
      </c>
      <c r="C1146" s="6" t="s">
        <v>610</v>
      </c>
      <c r="D1146" s="11" t="s">
        <v>347</v>
      </c>
      <c r="E1146" s="17" t="s">
        <v>75</v>
      </c>
      <c r="F1146" s="17" t="s">
        <v>86</v>
      </c>
      <c r="G1146" s="11" t="s">
        <v>103</v>
      </c>
      <c r="H1146" s="11" t="s">
        <v>125</v>
      </c>
      <c r="I1146" s="17" t="s">
        <v>138</v>
      </c>
      <c r="J1146" s="17">
        <v>17.05124</v>
      </c>
      <c r="K1146" s="17">
        <v>-96.722978999999995</v>
      </c>
      <c r="L1146" s="17" t="str">
        <f>HYPERLINK("https://maps.google.com/?q=17.05124,-96.722979", "🔗 Ver Mapa")</f>
        <v>🔗 Ver Mapa</v>
      </c>
    </row>
    <row r="1147" spans="1:12" ht="29" x14ac:dyDescent="0.35">
      <c r="A1147" s="5" t="s">
        <v>611</v>
      </c>
      <c r="B1147" s="5" t="s">
        <v>612</v>
      </c>
      <c r="C1147" s="5" t="s">
        <v>613</v>
      </c>
      <c r="D1147" s="8" t="s">
        <v>65</v>
      </c>
      <c r="E1147" s="16" t="s">
        <v>75</v>
      </c>
      <c r="F1147" s="16" t="s">
        <v>86</v>
      </c>
      <c r="G1147" s="8" t="s">
        <v>103</v>
      </c>
      <c r="H1147" s="8" t="s">
        <v>125</v>
      </c>
      <c r="I1147" s="16" t="s">
        <v>138</v>
      </c>
      <c r="J1147" s="16">
        <v>17.060102817514998</v>
      </c>
      <c r="K1147" s="16">
        <v>-96.725467435313007</v>
      </c>
      <c r="L1147" s="16" t="str">
        <f>HYPERLINK("https://maps.google.com/?q=17.060102817515,-96.725467435313", "🔗 Ver Mapa")</f>
        <v>🔗 Ver Mapa</v>
      </c>
    </row>
    <row r="1148" spans="1:12" ht="43.5" x14ac:dyDescent="0.35">
      <c r="A1148" s="6" t="s">
        <v>614</v>
      </c>
      <c r="B1148" s="6" t="s">
        <v>615</v>
      </c>
      <c r="C1148" s="6" t="s">
        <v>616</v>
      </c>
      <c r="D1148" s="11" t="s">
        <v>61</v>
      </c>
      <c r="E1148" s="17" t="s">
        <v>287</v>
      </c>
      <c r="F1148" s="17" t="s">
        <v>288</v>
      </c>
      <c r="G1148" s="11" t="s">
        <v>582</v>
      </c>
      <c r="H1148" s="11" t="s">
        <v>617</v>
      </c>
      <c r="I1148" s="17" t="s">
        <v>138</v>
      </c>
      <c r="J1148" s="17">
        <v>18.515366883026999</v>
      </c>
      <c r="K1148" s="17">
        <v>-96.518082843963995</v>
      </c>
      <c r="L1148" s="17" t="str">
        <f>HYPERLINK("https://maps.google.com/?q=18.515366883027,-96.518082843964", "🔗 Ver Mapa")</f>
        <v>🔗 Ver Mapa</v>
      </c>
    </row>
    <row r="1149" spans="1:12" ht="43.5" x14ac:dyDescent="0.35">
      <c r="A1149" s="5" t="s">
        <v>614</v>
      </c>
      <c r="B1149" s="5" t="s">
        <v>615</v>
      </c>
      <c r="C1149" s="5" t="s">
        <v>618</v>
      </c>
      <c r="D1149" s="8" t="s">
        <v>61</v>
      </c>
      <c r="E1149" s="16" t="s">
        <v>77</v>
      </c>
      <c r="F1149" s="16" t="s">
        <v>88</v>
      </c>
      <c r="G1149" s="8" t="s">
        <v>619</v>
      </c>
      <c r="H1149" s="8" t="s">
        <v>620</v>
      </c>
      <c r="I1149" s="16" t="s">
        <v>138</v>
      </c>
      <c r="J1149" s="16">
        <v>16.664970758654</v>
      </c>
      <c r="K1149" s="16">
        <v>-94.717550179236994</v>
      </c>
      <c r="L1149" s="16" t="str">
        <f>HYPERLINK("https://maps.google.com/?q=16.664970758654,-94.717550179237", "🔗 Ver Mapa")</f>
        <v>🔗 Ver Mapa</v>
      </c>
    </row>
    <row r="1150" spans="1:12" ht="29" x14ac:dyDescent="0.35">
      <c r="A1150" s="6" t="s">
        <v>614</v>
      </c>
      <c r="B1150" s="6" t="s">
        <v>615</v>
      </c>
      <c r="C1150" s="6" t="s">
        <v>621</v>
      </c>
      <c r="D1150" s="11" t="s">
        <v>61</v>
      </c>
      <c r="E1150" s="17" t="s">
        <v>287</v>
      </c>
      <c r="F1150" s="17" t="s">
        <v>622</v>
      </c>
      <c r="G1150" s="11" t="s">
        <v>623</v>
      </c>
      <c r="H1150" s="11" t="s">
        <v>624</v>
      </c>
      <c r="I1150" s="17" t="s">
        <v>138</v>
      </c>
      <c r="J1150" s="17">
        <v>17.474333987575999</v>
      </c>
      <c r="K1150" s="17">
        <v>-95.453619046626997</v>
      </c>
      <c r="L1150" s="17" t="str">
        <f>HYPERLINK("https://maps.google.com/?q=17.474333987576,-95.453619046627", "🔗 Ver Mapa")</f>
        <v>🔗 Ver Mapa</v>
      </c>
    </row>
    <row r="1151" spans="1:12" ht="43.5" x14ac:dyDescent="0.35">
      <c r="A1151" s="5" t="s">
        <v>614</v>
      </c>
      <c r="B1151" s="5" t="s">
        <v>615</v>
      </c>
      <c r="C1151" s="5" t="s">
        <v>625</v>
      </c>
      <c r="D1151" s="8" t="s">
        <v>61</v>
      </c>
      <c r="E1151" s="16" t="s">
        <v>77</v>
      </c>
      <c r="F1151" s="16" t="s">
        <v>88</v>
      </c>
      <c r="G1151" s="8" t="s">
        <v>107</v>
      </c>
      <c r="H1151" s="8" t="s">
        <v>626</v>
      </c>
      <c r="I1151" s="16" t="s">
        <v>138</v>
      </c>
      <c r="J1151" s="16">
        <v>16.431678329503999</v>
      </c>
      <c r="K1151" s="16">
        <v>-95.023784023313993</v>
      </c>
      <c r="L1151" s="16" t="str">
        <f>HYPERLINK("https://maps.google.com/?q=16.431678329504,-95.023784023314", "🔗 Ver Mapa")</f>
        <v>🔗 Ver Mapa</v>
      </c>
    </row>
    <row r="1152" spans="1:12" ht="43.5" x14ac:dyDescent="0.35">
      <c r="A1152" s="6" t="s">
        <v>614</v>
      </c>
      <c r="B1152" s="6" t="s">
        <v>615</v>
      </c>
      <c r="C1152" s="6" t="s">
        <v>627</v>
      </c>
      <c r="D1152" s="11" t="s">
        <v>61</v>
      </c>
      <c r="E1152" s="17" t="s">
        <v>77</v>
      </c>
      <c r="F1152" s="17" t="s">
        <v>88</v>
      </c>
      <c r="G1152" s="11" t="s">
        <v>628</v>
      </c>
      <c r="H1152" s="11" t="s">
        <v>629</v>
      </c>
      <c r="I1152" s="17" t="s">
        <v>138</v>
      </c>
      <c r="J1152" s="17">
        <v>16.360586883212999</v>
      </c>
      <c r="K1152" s="17">
        <v>-95.017181766864994</v>
      </c>
      <c r="L1152" s="17" t="str">
        <f>HYPERLINK("https://maps.google.com/?q=16.360586883213,-95.017181766865", "🔗 Ver Mapa")</f>
        <v>🔗 Ver Mapa</v>
      </c>
    </row>
    <row r="1153" spans="1:12" ht="43.5" x14ac:dyDescent="0.35">
      <c r="A1153" s="5" t="s">
        <v>614</v>
      </c>
      <c r="B1153" s="5" t="s">
        <v>615</v>
      </c>
      <c r="C1153" s="5" t="s">
        <v>630</v>
      </c>
      <c r="D1153" s="8" t="s">
        <v>61</v>
      </c>
      <c r="E1153" s="16" t="s">
        <v>74</v>
      </c>
      <c r="F1153" s="16" t="s">
        <v>89</v>
      </c>
      <c r="G1153" s="8" t="s">
        <v>631</v>
      </c>
      <c r="H1153" s="8" t="s">
        <v>632</v>
      </c>
      <c r="I1153" s="16" t="s">
        <v>138</v>
      </c>
      <c r="J1153" s="16">
        <v>15.910283158919</v>
      </c>
      <c r="K1153" s="16">
        <v>-96.528160606151999</v>
      </c>
      <c r="L1153" s="16" t="str">
        <f>HYPERLINK("https://maps.google.com/?q=15.910283158919,-96.528160606152", "🔗 Ver Mapa")</f>
        <v>🔗 Ver Mapa</v>
      </c>
    </row>
    <row r="1154" spans="1:12" ht="43.5" x14ac:dyDescent="0.35">
      <c r="A1154" s="6" t="s">
        <v>614</v>
      </c>
      <c r="B1154" s="6" t="s">
        <v>615</v>
      </c>
      <c r="C1154" s="6" t="s">
        <v>633</v>
      </c>
      <c r="D1154" s="11" t="s">
        <v>61</v>
      </c>
      <c r="E1154" s="17" t="s">
        <v>287</v>
      </c>
      <c r="F1154" s="17" t="s">
        <v>288</v>
      </c>
      <c r="G1154" s="11" t="s">
        <v>634</v>
      </c>
      <c r="H1154" s="11" t="s">
        <v>635</v>
      </c>
      <c r="I1154" s="17" t="s">
        <v>138</v>
      </c>
      <c r="J1154" s="17">
        <v>17.949921029266999</v>
      </c>
      <c r="K1154" s="17">
        <v>-96.164376944775</v>
      </c>
      <c r="L1154" s="17" t="str">
        <f>HYPERLINK("https://maps.google.com/?q=17.949921029267,-96.164376944775", "🔗 Ver Mapa")</f>
        <v>🔗 Ver Mapa</v>
      </c>
    </row>
    <row r="1155" spans="1:12" ht="29" x14ac:dyDescent="0.35">
      <c r="A1155" s="5" t="s">
        <v>614</v>
      </c>
      <c r="B1155" s="5" t="s">
        <v>615</v>
      </c>
      <c r="C1155" s="5" t="s">
        <v>636</v>
      </c>
      <c r="D1155" s="8" t="s">
        <v>61</v>
      </c>
      <c r="E1155" s="16" t="s">
        <v>74</v>
      </c>
      <c r="F1155" s="16" t="s">
        <v>89</v>
      </c>
      <c r="G1155" s="8" t="s">
        <v>637</v>
      </c>
      <c r="H1155" s="8" t="s">
        <v>638</v>
      </c>
      <c r="I1155" s="16" t="s">
        <v>138</v>
      </c>
      <c r="J1155" s="16">
        <v>15.920132868831001</v>
      </c>
      <c r="K1155" s="16">
        <v>-96.417905970396006</v>
      </c>
      <c r="L1155" s="16" t="str">
        <f>HYPERLINK("https://maps.google.com/?q=15.920132868831,-96.417905970396", "🔗 Ver Mapa")</f>
        <v>🔗 Ver Mapa</v>
      </c>
    </row>
    <row r="1156" spans="1:12" ht="43.5" x14ac:dyDescent="0.35">
      <c r="A1156" s="6" t="s">
        <v>614</v>
      </c>
      <c r="B1156" s="6" t="s">
        <v>615</v>
      </c>
      <c r="C1156" s="6" t="s">
        <v>639</v>
      </c>
      <c r="D1156" s="11" t="s">
        <v>61</v>
      </c>
      <c r="E1156" s="17" t="s">
        <v>164</v>
      </c>
      <c r="F1156" s="17" t="s">
        <v>394</v>
      </c>
      <c r="G1156" s="11" t="s">
        <v>640</v>
      </c>
      <c r="H1156" s="11" t="s">
        <v>641</v>
      </c>
      <c r="I1156" s="17" t="s">
        <v>138</v>
      </c>
      <c r="J1156" s="17">
        <v>18.033145265858</v>
      </c>
      <c r="K1156" s="17">
        <v>-96.870665970570002</v>
      </c>
      <c r="L1156" s="17" t="str">
        <f>HYPERLINK("https://maps.google.com/?q=18.033145265858,-96.87066597057", "🔗 Ver Mapa")</f>
        <v>🔗 Ver Mapa</v>
      </c>
    </row>
    <row r="1157" spans="1:12" ht="43.5" x14ac:dyDescent="0.35">
      <c r="A1157" s="5" t="s">
        <v>614</v>
      </c>
      <c r="B1157" s="5" t="s">
        <v>615</v>
      </c>
      <c r="C1157" s="5" t="s">
        <v>642</v>
      </c>
      <c r="D1157" s="8" t="s">
        <v>61</v>
      </c>
      <c r="E1157" s="16" t="s">
        <v>79</v>
      </c>
      <c r="F1157" s="16" t="s">
        <v>91</v>
      </c>
      <c r="G1157" s="8" t="s">
        <v>643</v>
      </c>
      <c r="H1157" s="8" t="s">
        <v>644</v>
      </c>
      <c r="I1157" s="16" t="s">
        <v>138</v>
      </c>
      <c r="J1157" s="16">
        <v>16.522711142239</v>
      </c>
      <c r="K1157" s="16">
        <v>-97.165971742397005</v>
      </c>
      <c r="L1157" s="16" t="str">
        <f>HYPERLINK("https://maps.google.com/?q=16.522711142239,-97.165971742397", "🔗 Ver Mapa")</f>
        <v>🔗 Ver Mapa</v>
      </c>
    </row>
    <row r="1158" spans="1:12" ht="43.5" x14ac:dyDescent="0.35">
      <c r="A1158" s="6" t="s">
        <v>614</v>
      </c>
      <c r="B1158" s="6" t="s">
        <v>615</v>
      </c>
      <c r="C1158" s="6" t="s">
        <v>645</v>
      </c>
      <c r="D1158" s="11" t="s">
        <v>61</v>
      </c>
      <c r="E1158" s="17" t="s">
        <v>73</v>
      </c>
      <c r="F1158" s="17" t="s">
        <v>585</v>
      </c>
      <c r="G1158" s="11" t="s">
        <v>646</v>
      </c>
      <c r="H1158" s="11" t="s">
        <v>647</v>
      </c>
      <c r="I1158" s="17" t="s">
        <v>138</v>
      </c>
      <c r="J1158" s="17">
        <v>17.484671687409001</v>
      </c>
      <c r="K1158" s="17">
        <v>-98.013484936175999</v>
      </c>
      <c r="L1158" s="17" t="str">
        <f>HYPERLINK("https://maps.google.com/?q=17.484671687409,-98.013484936176", "🔗 Ver Mapa")</f>
        <v>🔗 Ver Mapa</v>
      </c>
    </row>
    <row r="1159" spans="1:12" ht="43.5" x14ac:dyDescent="0.35">
      <c r="A1159" s="5" t="s">
        <v>614</v>
      </c>
      <c r="B1159" s="5" t="s">
        <v>615</v>
      </c>
      <c r="C1159" s="5" t="s">
        <v>648</v>
      </c>
      <c r="D1159" s="8" t="s">
        <v>61</v>
      </c>
      <c r="E1159" s="16" t="s">
        <v>77</v>
      </c>
      <c r="F1159" s="16" t="s">
        <v>201</v>
      </c>
      <c r="G1159" s="8" t="s">
        <v>649</v>
      </c>
      <c r="H1159" s="8" t="s">
        <v>650</v>
      </c>
      <c r="I1159" s="16" t="s">
        <v>138</v>
      </c>
      <c r="J1159" s="16">
        <v>16.376661779409002</v>
      </c>
      <c r="K1159" s="16">
        <v>-95.258227661377006</v>
      </c>
      <c r="L1159" s="16" t="str">
        <f>HYPERLINK("https://maps.google.com/?q=16.376661779409,-95.258227661377", "🔗 Ver Mapa")</f>
        <v>🔗 Ver Mapa</v>
      </c>
    </row>
    <row r="1160" spans="1:12" ht="43.5" x14ac:dyDescent="0.35">
      <c r="A1160" s="6" t="s">
        <v>614</v>
      </c>
      <c r="B1160" s="6" t="s">
        <v>615</v>
      </c>
      <c r="C1160" s="6" t="s">
        <v>651</v>
      </c>
      <c r="D1160" s="11" t="s">
        <v>61</v>
      </c>
      <c r="E1160" s="17" t="s">
        <v>77</v>
      </c>
      <c r="F1160" s="17" t="s">
        <v>201</v>
      </c>
      <c r="G1160" s="11" t="s">
        <v>652</v>
      </c>
      <c r="H1160" s="11" t="s">
        <v>653</v>
      </c>
      <c r="I1160" s="17" t="s">
        <v>138</v>
      </c>
      <c r="J1160" s="17">
        <v>16.326031749761</v>
      </c>
      <c r="K1160" s="17">
        <v>-95.241940966933996</v>
      </c>
      <c r="L1160" s="17" t="str">
        <f>HYPERLINK("https://maps.google.com/?q=16.326031749761,-95.241940966934", "🔗 Ver Mapa")</f>
        <v>🔗 Ver Mapa</v>
      </c>
    </row>
    <row r="1161" spans="1:12" ht="43.5" x14ac:dyDescent="0.35">
      <c r="A1161" s="5" t="s">
        <v>614</v>
      </c>
      <c r="B1161" s="5" t="s">
        <v>615</v>
      </c>
      <c r="C1161" s="5" t="s">
        <v>654</v>
      </c>
      <c r="D1161" s="8" t="s">
        <v>61</v>
      </c>
      <c r="E1161" s="16" t="s">
        <v>74</v>
      </c>
      <c r="F1161" s="16" t="s">
        <v>89</v>
      </c>
      <c r="G1161" s="8" t="s">
        <v>655</v>
      </c>
      <c r="H1161" s="8" t="s">
        <v>656</v>
      </c>
      <c r="I1161" s="16" t="s">
        <v>138</v>
      </c>
      <c r="J1161" s="16">
        <v>15.746059404078</v>
      </c>
      <c r="K1161" s="16">
        <v>-96.546132457672002</v>
      </c>
      <c r="L1161" s="16" t="str">
        <f>HYPERLINK("https://maps.google.com/?q=15.746059404078,-96.546132457672", "🔗 Ver Mapa")</f>
        <v>🔗 Ver Mapa</v>
      </c>
    </row>
    <row r="1162" spans="1:12" ht="43.5" x14ac:dyDescent="0.35">
      <c r="A1162" s="6" t="s">
        <v>614</v>
      </c>
      <c r="B1162" s="6" t="s">
        <v>615</v>
      </c>
      <c r="C1162" s="6" t="s">
        <v>657</v>
      </c>
      <c r="D1162" s="11" t="s">
        <v>61</v>
      </c>
      <c r="E1162" s="17" t="s">
        <v>287</v>
      </c>
      <c r="F1162" s="17" t="s">
        <v>288</v>
      </c>
      <c r="G1162" s="11" t="s">
        <v>658</v>
      </c>
      <c r="H1162" s="11" t="s">
        <v>659</v>
      </c>
      <c r="I1162" s="17" t="s">
        <v>138</v>
      </c>
      <c r="J1162" s="17">
        <v>18.086524132975001</v>
      </c>
      <c r="K1162" s="17">
        <v>-96.14959710318</v>
      </c>
      <c r="L1162" s="17" t="str">
        <f>HYPERLINK("https://maps.google.com/?q=18.086524132975,-96.14959710318", "🔗 Ver Mapa")</f>
        <v>🔗 Ver Mapa</v>
      </c>
    </row>
    <row r="1163" spans="1:12" ht="43.5" x14ac:dyDescent="0.35">
      <c r="A1163" s="5" t="s">
        <v>614</v>
      </c>
      <c r="B1163" s="5" t="s">
        <v>615</v>
      </c>
      <c r="C1163" s="5" t="s">
        <v>660</v>
      </c>
      <c r="D1163" s="8" t="s">
        <v>61</v>
      </c>
      <c r="E1163" s="16" t="s">
        <v>74</v>
      </c>
      <c r="F1163" s="16" t="s">
        <v>82</v>
      </c>
      <c r="G1163" s="8" t="s">
        <v>445</v>
      </c>
      <c r="H1163" s="8" t="s">
        <v>661</v>
      </c>
      <c r="I1163" s="16" t="s">
        <v>138</v>
      </c>
      <c r="J1163" s="16">
        <v>16.448464371027001</v>
      </c>
      <c r="K1163" s="16">
        <v>-98.017671661376994</v>
      </c>
      <c r="L1163" s="16" t="str">
        <f>HYPERLINK("https://maps.google.com/?q=16.448464371027,-98.017671661377", "🔗 Ver Mapa")</f>
        <v>🔗 Ver Mapa</v>
      </c>
    </row>
    <row r="1164" spans="1:12" ht="43.5" x14ac:dyDescent="0.35">
      <c r="A1164" s="6" t="s">
        <v>614</v>
      </c>
      <c r="B1164" s="6" t="s">
        <v>615</v>
      </c>
      <c r="C1164" s="6" t="s">
        <v>662</v>
      </c>
      <c r="D1164" s="11" t="s">
        <v>61</v>
      </c>
      <c r="E1164" s="17" t="s">
        <v>78</v>
      </c>
      <c r="F1164" s="17" t="s">
        <v>182</v>
      </c>
      <c r="G1164" s="11" t="s">
        <v>663</v>
      </c>
      <c r="H1164" s="11" t="s">
        <v>664</v>
      </c>
      <c r="I1164" s="17" t="s">
        <v>138</v>
      </c>
      <c r="J1164" s="17">
        <v>17.328792793238001</v>
      </c>
      <c r="K1164" s="17">
        <v>-96.260014360783003</v>
      </c>
      <c r="L1164" s="17" t="str">
        <f>HYPERLINK("https://maps.google.com/?q=17.328792793238,-96.260014360783", "🔗 Ver Mapa")</f>
        <v>🔗 Ver Mapa</v>
      </c>
    </row>
    <row r="1165" spans="1:12" ht="43.5" x14ac:dyDescent="0.35">
      <c r="A1165" s="5" t="s">
        <v>614</v>
      </c>
      <c r="B1165" s="5" t="s">
        <v>615</v>
      </c>
      <c r="C1165" s="5" t="s">
        <v>665</v>
      </c>
      <c r="D1165" s="8" t="s">
        <v>61</v>
      </c>
      <c r="E1165" s="16" t="s">
        <v>74</v>
      </c>
      <c r="F1165" s="16" t="s">
        <v>89</v>
      </c>
      <c r="G1165" s="8" t="s">
        <v>666</v>
      </c>
      <c r="H1165" s="8" t="s">
        <v>667</v>
      </c>
      <c r="I1165" s="16" t="s">
        <v>138</v>
      </c>
      <c r="J1165" s="16">
        <v>15.855932969342</v>
      </c>
      <c r="K1165" s="16">
        <v>-97.051994012234005</v>
      </c>
      <c r="L1165" s="16" t="str">
        <f>HYPERLINK("https://maps.google.com/?q=15.855932969342,-97.051994012234", "🔗 Ver Mapa")</f>
        <v>🔗 Ver Mapa</v>
      </c>
    </row>
    <row r="1166" spans="1:12" ht="43.5" x14ac:dyDescent="0.35">
      <c r="A1166" s="6" t="s">
        <v>614</v>
      </c>
      <c r="B1166" s="6" t="s">
        <v>615</v>
      </c>
      <c r="C1166" s="6" t="s">
        <v>668</v>
      </c>
      <c r="D1166" s="11" t="s">
        <v>61</v>
      </c>
      <c r="E1166" s="17" t="s">
        <v>287</v>
      </c>
      <c r="F1166" s="17" t="s">
        <v>288</v>
      </c>
      <c r="G1166" s="11" t="s">
        <v>669</v>
      </c>
      <c r="H1166" s="11" t="s">
        <v>670</v>
      </c>
      <c r="I1166" s="17" t="s">
        <v>138</v>
      </c>
      <c r="J1166" s="17">
        <v>18.246926488856001</v>
      </c>
      <c r="K1166" s="17">
        <v>-96.400718230479995</v>
      </c>
      <c r="L1166" s="17" t="str">
        <f>HYPERLINK("https://maps.google.com/?q=18.246926488856,-96.40071823048", "🔗 Ver Mapa")</f>
        <v>🔗 Ver Mapa</v>
      </c>
    </row>
    <row r="1167" spans="1:12" ht="43.5" x14ac:dyDescent="0.35">
      <c r="A1167" s="5" t="s">
        <v>614</v>
      </c>
      <c r="B1167" s="5" t="s">
        <v>615</v>
      </c>
      <c r="C1167" s="5" t="s">
        <v>671</v>
      </c>
      <c r="D1167" s="8" t="s">
        <v>61</v>
      </c>
      <c r="E1167" s="16" t="s">
        <v>78</v>
      </c>
      <c r="F1167" s="16" t="s">
        <v>90</v>
      </c>
      <c r="G1167" s="8" t="s">
        <v>672</v>
      </c>
      <c r="H1167" s="8" t="s">
        <v>673</v>
      </c>
      <c r="I1167" s="16" t="s">
        <v>138</v>
      </c>
      <c r="J1167" s="16">
        <v>16.968627325480998</v>
      </c>
      <c r="K1167" s="16">
        <v>-95.757596950890999</v>
      </c>
      <c r="L1167" s="16" t="str">
        <f>HYPERLINK("https://maps.google.com/?q=16.968627325481,-95.757596950891", "🔗 Ver Mapa")</f>
        <v>🔗 Ver Mapa</v>
      </c>
    </row>
    <row r="1168" spans="1:12" ht="43.5" x14ac:dyDescent="0.35">
      <c r="A1168" s="6" t="s">
        <v>614</v>
      </c>
      <c r="B1168" s="6" t="s">
        <v>615</v>
      </c>
      <c r="C1168" s="6" t="s">
        <v>674</v>
      </c>
      <c r="D1168" s="11" t="s">
        <v>61</v>
      </c>
      <c r="E1168" s="17" t="s">
        <v>74</v>
      </c>
      <c r="F1168" s="17" t="s">
        <v>453</v>
      </c>
      <c r="G1168" s="11" t="s">
        <v>675</v>
      </c>
      <c r="H1168" s="11" t="s">
        <v>676</v>
      </c>
      <c r="I1168" s="17" t="s">
        <v>138</v>
      </c>
      <c r="J1168" s="17">
        <v>15.854109605419</v>
      </c>
      <c r="K1168" s="17">
        <v>-97.046104685844</v>
      </c>
      <c r="L1168" s="17" t="str">
        <f>HYPERLINK("https://maps.google.com/?q=15.854109605419,-97.046104685844", "🔗 Ver Mapa")</f>
        <v>🔗 Ver Mapa</v>
      </c>
    </row>
    <row r="1169" spans="1:12" ht="29" x14ac:dyDescent="0.35">
      <c r="A1169" s="5" t="s">
        <v>614</v>
      </c>
      <c r="B1169" s="5" t="s">
        <v>615</v>
      </c>
      <c r="C1169" s="5" t="s">
        <v>677</v>
      </c>
      <c r="D1169" s="8" t="s">
        <v>61</v>
      </c>
      <c r="E1169" s="16" t="s">
        <v>78</v>
      </c>
      <c r="F1169" s="16" t="s">
        <v>399</v>
      </c>
      <c r="G1169" s="8" t="s">
        <v>403</v>
      </c>
      <c r="H1169" s="8" t="s">
        <v>404</v>
      </c>
      <c r="I1169" s="16" t="s">
        <v>138</v>
      </c>
      <c r="J1169" s="16">
        <v>17.323125724571</v>
      </c>
      <c r="K1169" s="16">
        <v>-96.479436331924006</v>
      </c>
      <c r="L1169" s="16" t="str">
        <f>HYPERLINK("https://maps.google.com/?q=17.323125724571,-96.479436331924", "🔗 Ver Mapa")</f>
        <v>🔗 Ver Mapa</v>
      </c>
    </row>
    <row r="1170" spans="1:12" ht="29" x14ac:dyDescent="0.35">
      <c r="A1170" s="6" t="s">
        <v>614</v>
      </c>
      <c r="B1170" s="6" t="s">
        <v>615</v>
      </c>
      <c r="C1170" s="6" t="s">
        <v>678</v>
      </c>
      <c r="D1170" s="11" t="s">
        <v>61</v>
      </c>
      <c r="E1170" s="17" t="s">
        <v>73</v>
      </c>
      <c r="F1170" s="17" t="s">
        <v>83</v>
      </c>
      <c r="G1170" s="11" t="s">
        <v>212</v>
      </c>
      <c r="H1170" s="11" t="s">
        <v>215</v>
      </c>
      <c r="I1170" s="17" t="s">
        <v>138</v>
      </c>
      <c r="J1170" s="17">
        <v>17.257672816907</v>
      </c>
      <c r="K1170" s="17">
        <v>-97.691492656413999</v>
      </c>
      <c r="L1170" s="17" t="str">
        <f>HYPERLINK("https://maps.google.com/?q=17.257672816907,-97.691492656414", "🔗 Ver Mapa")</f>
        <v>🔗 Ver Mapa</v>
      </c>
    </row>
    <row r="1171" spans="1:12" ht="29" x14ac:dyDescent="0.35">
      <c r="A1171" s="5" t="s">
        <v>614</v>
      </c>
      <c r="B1171" s="5" t="s">
        <v>615</v>
      </c>
      <c r="C1171" s="5" t="s">
        <v>679</v>
      </c>
      <c r="D1171" s="8" t="s">
        <v>61</v>
      </c>
      <c r="E1171" s="16" t="s">
        <v>78</v>
      </c>
      <c r="F1171" s="16" t="s">
        <v>399</v>
      </c>
      <c r="G1171" s="8" t="s">
        <v>680</v>
      </c>
      <c r="H1171" s="8" t="s">
        <v>681</v>
      </c>
      <c r="I1171" s="16" t="s">
        <v>138</v>
      </c>
      <c r="J1171" s="16">
        <v>17.581008723018002</v>
      </c>
      <c r="K1171" s="16">
        <v>-96.572981847885004</v>
      </c>
      <c r="L1171" s="16" t="str">
        <f>HYPERLINK("https://maps.google.com/?q=17.581008723018,-96.572981847885", "🔗 Ver Mapa")</f>
        <v>🔗 Ver Mapa</v>
      </c>
    </row>
    <row r="1172" spans="1:12" ht="29" x14ac:dyDescent="0.35">
      <c r="A1172" s="6" t="s">
        <v>614</v>
      </c>
      <c r="B1172" s="6" t="s">
        <v>615</v>
      </c>
      <c r="C1172" s="6" t="s">
        <v>682</v>
      </c>
      <c r="D1172" s="11" t="s">
        <v>61</v>
      </c>
      <c r="E1172" s="17" t="s">
        <v>164</v>
      </c>
      <c r="F1172" s="17" t="s">
        <v>394</v>
      </c>
      <c r="G1172" s="11" t="s">
        <v>395</v>
      </c>
      <c r="H1172" s="11" t="s">
        <v>396</v>
      </c>
      <c r="I1172" s="17" t="s">
        <v>138</v>
      </c>
      <c r="J1172" s="17">
        <v>18.139466413114999</v>
      </c>
      <c r="K1172" s="17">
        <v>-97.071154580357003</v>
      </c>
      <c r="L1172" s="17" t="str">
        <f>HYPERLINK("https://maps.google.com/?q=18.139466413115,-97.071154580357", "🔗 Ver Mapa")</f>
        <v>🔗 Ver Mapa</v>
      </c>
    </row>
    <row r="1173" spans="1:12" ht="43.5" x14ac:dyDescent="0.35">
      <c r="A1173" s="5" t="s">
        <v>614</v>
      </c>
      <c r="B1173" s="5" t="s">
        <v>615</v>
      </c>
      <c r="C1173" s="5" t="s">
        <v>683</v>
      </c>
      <c r="D1173" s="8" t="s">
        <v>61</v>
      </c>
      <c r="E1173" s="16" t="s">
        <v>287</v>
      </c>
      <c r="F1173" s="16" t="s">
        <v>288</v>
      </c>
      <c r="G1173" s="8" t="s">
        <v>387</v>
      </c>
      <c r="H1173" s="8" t="s">
        <v>684</v>
      </c>
      <c r="I1173" s="16" t="s">
        <v>138</v>
      </c>
      <c r="J1173" s="16">
        <v>17.712105744586999</v>
      </c>
      <c r="K1173" s="16">
        <v>-96.344934844250005</v>
      </c>
      <c r="L1173" s="16" t="str">
        <f>HYPERLINK("https://maps.google.com/?q=17.712105744587,-96.34493484425", "🔗 Ver Mapa")</f>
        <v>🔗 Ver Mapa</v>
      </c>
    </row>
    <row r="1174" spans="1:12" ht="29" x14ac:dyDescent="0.35">
      <c r="A1174" s="6" t="s">
        <v>614</v>
      </c>
      <c r="B1174" s="6" t="s">
        <v>615</v>
      </c>
      <c r="C1174" s="6" t="s">
        <v>685</v>
      </c>
      <c r="D1174" s="11" t="s">
        <v>61</v>
      </c>
      <c r="E1174" s="17" t="s">
        <v>74</v>
      </c>
      <c r="F1174" s="17" t="s">
        <v>453</v>
      </c>
      <c r="G1174" s="11" t="s">
        <v>686</v>
      </c>
      <c r="H1174" s="11" t="s">
        <v>687</v>
      </c>
      <c r="I1174" s="17" t="s">
        <v>138</v>
      </c>
      <c r="J1174" s="17">
        <v>16.302942759093</v>
      </c>
      <c r="K1174" s="17">
        <v>-97.315909834324003</v>
      </c>
      <c r="L1174" s="17" t="str">
        <f>HYPERLINK("https://maps.google.com/?q=16.302942759093,-97.315909834324", "🔗 Ver Mapa")</f>
        <v>🔗 Ver Mapa</v>
      </c>
    </row>
    <row r="1175" spans="1:12" ht="29" x14ac:dyDescent="0.35">
      <c r="A1175" s="5" t="s">
        <v>614</v>
      </c>
      <c r="B1175" s="5" t="s">
        <v>615</v>
      </c>
      <c r="C1175" s="5" t="s">
        <v>688</v>
      </c>
      <c r="D1175" s="8" t="s">
        <v>61</v>
      </c>
      <c r="E1175" s="16" t="s">
        <v>164</v>
      </c>
      <c r="F1175" s="16" t="s">
        <v>394</v>
      </c>
      <c r="G1175" s="8" t="s">
        <v>689</v>
      </c>
      <c r="H1175" s="8" t="s">
        <v>690</v>
      </c>
      <c r="I1175" s="16" t="s">
        <v>138</v>
      </c>
      <c r="J1175" s="16">
        <v>18.168975648233999</v>
      </c>
      <c r="K1175" s="16">
        <v>-96.954878735126002</v>
      </c>
      <c r="L1175" s="16" t="str">
        <f>HYPERLINK("https://maps.google.com/?q=18.168975648234,-96.954878735126", "🔗 Ver Mapa")</f>
        <v>🔗 Ver Mapa</v>
      </c>
    </row>
    <row r="1176" spans="1:12" ht="29" x14ac:dyDescent="0.35">
      <c r="A1176" s="6" t="s">
        <v>614</v>
      </c>
      <c r="B1176" s="6" t="s">
        <v>615</v>
      </c>
      <c r="C1176" s="6" t="s">
        <v>691</v>
      </c>
      <c r="D1176" s="11" t="s">
        <v>61</v>
      </c>
      <c r="E1176" s="17" t="s">
        <v>164</v>
      </c>
      <c r="F1176" s="17" t="s">
        <v>394</v>
      </c>
      <c r="G1176" s="11" t="s">
        <v>692</v>
      </c>
      <c r="H1176" s="11" t="s">
        <v>693</v>
      </c>
      <c r="I1176" s="17" t="s">
        <v>138</v>
      </c>
      <c r="J1176" s="17">
        <v>18.375821633948</v>
      </c>
      <c r="K1176" s="17">
        <v>-96.716929472214005</v>
      </c>
      <c r="L1176" s="17" t="str">
        <f>HYPERLINK("https://maps.google.com/?q=18.375821633948,-96.716929472214", "🔗 Ver Mapa")</f>
        <v>🔗 Ver Mapa</v>
      </c>
    </row>
    <row r="1177" spans="1:12" ht="43.5" x14ac:dyDescent="0.35">
      <c r="A1177" s="5" t="s">
        <v>614</v>
      </c>
      <c r="B1177" s="5" t="s">
        <v>615</v>
      </c>
      <c r="C1177" s="5" t="s">
        <v>694</v>
      </c>
      <c r="D1177" s="8" t="s">
        <v>61</v>
      </c>
      <c r="E1177" s="16" t="s">
        <v>73</v>
      </c>
      <c r="F1177" s="16" t="s">
        <v>249</v>
      </c>
      <c r="G1177" s="8" t="s">
        <v>695</v>
      </c>
      <c r="H1177" s="8" t="s">
        <v>696</v>
      </c>
      <c r="I1177" s="16" t="s">
        <v>138</v>
      </c>
      <c r="J1177" s="16">
        <v>17.821398991618999</v>
      </c>
      <c r="K1177" s="16">
        <v>-97.788644136246006</v>
      </c>
      <c r="L1177" s="16" t="str">
        <f>HYPERLINK("https://maps.google.com/?q=17.821398991619,-97.788644136246", "🔗 Ver Mapa")</f>
        <v>🔗 Ver Mapa</v>
      </c>
    </row>
    <row r="1178" spans="1:12" ht="29" x14ac:dyDescent="0.35">
      <c r="A1178" s="6" t="s">
        <v>614</v>
      </c>
      <c r="B1178" s="6" t="s">
        <v>615</v>
      </c>
      <c r="C1178" s="6" t="s">
        <v>697</v>
      </c>
      <c r="D1178" s="11" t="s">
        <v>61</v>
      </c>
      <c r="E1178" s="17" t="s">
        <v>77</v>
      </c>
      <c r="F1178" s="17" t="s">
        <v>88</v>
      </c>
      <c r="G1178" s="11" t="s">
        <v>698</v>
      </c>
      <c r="H1178" s="11" t="s">
        <v>699</v>
      </c>
      <c r="I1178" s="17" t="s">
        <v>138</v>
      </c>
      <c r="J1178" s="17">
        <v>17.161764385853999</v>
      </c>
      <c r="K1178" s="17">
        <v>-94.352705580356997</v>
      </c>
      <c r="L1178" s="17" t="str">
        <f>HYPERLINK("https://maps.google.com/?q=17.161764385854,-94.352705580357", "🔗 Ver Mapa")</f>
        <v>🔗 Ver Mapa</v>
      </c>
    </row>
    <row r="1179" spans="1:12" ht="29" x14ac:dyDescent="0.35">
      <c r="A1179" s="5" t="s">
        <v>614</v>
      </c>
      <c r="B1179" s="5" t="s">
        <v>615</v>
      </c>
      <c r="C1179" s="5" t="s">
        <v>700</v>
      </c>
      <c r="D1179" s="8" t="s">
        <v>61</v>
      </c>
      <c r="E1179" s="16" t="s">
        <v>287</v>
      </c>
      <c r="F1179" s="16" t="s">
        <v>622</v>
      </c>
      <c r="G1179" s="8" t="s">
        <v>701</v>
      </c>
      <c r="H1179" s="8" t="s">
        <v>702</v>
      </c>
      <c r="I1179" s="16" t="s">
        <v>138</v>
      </c>
      <c r="J1179" s="16">
        <v>17.621436928377999</v>
      </c>
      <c r="K1179" s="16">
        <v>-95.934652262566004</v>
      </c>
      <c r="L1179" s="16" t="str">
        <f>HYPERLINK("https://maps.google.com/?q=17.621436928378,-95.934652262566", "🔗 Ver Mapa")</f>
        <v>🔗 Ver Mapa</v>
      </c>
    </row>
    <row r="1180" spans="1:12" ht="29" x14ac:dyDescent="0.35">
      <c r="A1180" s="6" t="s">
        <v>614</v>
      </c>
      <c r="B1180" s="6" t="s">
        <v>615</v>
      </c>
      <c r="C1180" s="6" t="s">
        <v>703</v>
      </c>
      <c r="D1180" s="11" t="s">
        <v>61</v>
      </c>
      <c r="E1180" s="17" t="s">
        <v>79</v>
      </c>
      <c r="F1180" s="17" t="s">
        <v>195</v>
      </c>
      <c r="G1180" s="11" t="s">
        <v>236</v>
      </c>
      <c r="H1180" s="11" t="s">
        <v>704</v>
      </c>
      <c r="I1180" s="17" t="s">
        <v>138</v>
      </c>
      <c r="J1180" s="17">
        <v>16.470228921522001</v>
      </c>
      <c r="K1180" s="17">
        <v>-96.701511431876995</v>
      </c>
      <c r="L1180" s="17" t="str">
        <f>HYPERLINK("https://maps.google.com/?q=16.470228921522,-96.701511431877", "🔗 Ver Mapa")</f>
        <v>🔗 Ver Mapa</v>
      </c>
    </row>
    <row r="1181" spans="1:12" ht="29" x14ac:dyDescent="0.35">
      <c r="A1181" s="5" t="s">
        <v>614</v>
      </c>
      <c r="B1181" s="5" t="s">
        <v>615</v>
      </c>
      <c r="C1181" s="5" t="s">
        <v>705</v>
      </c>
      <c r="D1181" s="8" t="s">
        <v>61</v>
      </c>
      <c r="E1181" s="16" t="s">
        <v>164</v>
      </c>
      <c r="F1181" s="16" t="s">
        <v>394</v>
      </c>
      <c r="G1181" s="8" t="s">
        <v>706</v>
      </c>
      <c r="H1181" s="8" t="s">
        <v>707</v>
      </c>
      <c r="I1181" s="16" t="s">
        <v>138</v>
      </c>
      <c r="J1181" s="16">
        <v>18.185270113531001</v>
      </c>
      <c r="K1181" s="16">
        <v>-96.708123787697005</v>
      </c>
      <c r="L1181" s="16" t="str">
        <f>HYPERLINK("https://maps.google.com/?q=18.185270113531,-96.708123787697", "🔗 Ver Mapa")</f>
        <v>🔗 Ver Mapa</v>
      </c>
    </row>
    <row r="1182" spans="1:12" ht="29" x14ac:dyDescent="0.35">
      <c r="A1182" s="6" t="s">
        <v>614</v>
      </c>
      <c r="B1182" s="6" t="s">
        <v>615</v>
      </c>
      <c r="C1182" s="6" t="s">
        <v>708</v>
      </c>
      <c r="D1182" s="11" t="s">
        <v>61</v>
      </c>
      <c r="E1182" s="17" t="s">
        <v>77</v>
      </c>
      <c r="F1182" s="17" t="s">
        <v>201</v>
      </c>
      <c r="G1182" s="11" t="s">
        <v>709</v>
      </c>
      <c r="H1182" s="11" t="s">
        <v>710</v>
      </c>
      <c r="I1182" s="17" t="s">
        <v>138</v>
      </c>
      <c r="J1182" s="17">
        <v>16.739580729964</v>
      </c>
      <c r="K1182" s="17">
        <v>-95.351942100524994</v>
      </c>
      <c r="L1182" s="17" t="str">
        <f>HYPERLINK("https://maps.google.com/?q=16.739580729964,-95.351942100525", "🔗 Ver Mapa")</f>
        <v>🔗 Ver Mapa</v>
      </c>
    </row>
    <row r="1183" spans="1:12" ht="29" x14ac:dyDescent="0.35">
      <c r="A1183" s="5" t="s">
        <v>614</v>
      </c>
      <c r="B1183" s="5" t="s">
        <v>615</v>
      </c>
      <c r="C1183" s="5" t="s">
        <v>711</v>
      </c>
      <c r="D1183" s="8" t="s">
        <v>61</v>
      </c>
      <c r="E1183" s="16" t="s">
        <v>74</v>
      </c>
      <c r="F1183" s="16" t="s">
        <v>82</v>
      </c>
      <c r="G1183" s="8" t="s">
        <v>712</v>
      </c>
      <c r="H1183" s="8" t="s">
        <v>713</v>
      </c>
      <c r="I1183" s="16" t="s">
        <v>138</v>
      </c>
      <c r="J1183" s="16">
        <v>16.417242451128001</v>
      </c>
      <c r="K1183" s="16">
        <v>-98.061897669974996</v>
      </c>
      <c r="L1183" s="16" t="str">
        <f>HYPERLINK("https://maps.google.com/?q=16.417242451128,-98.061897669975", "🔗 Ver Mapa")</f>
        <v>🔗 Ver Mapa</v>
      </c>
    </row>
    <row r="1184" spans="1:12" ht="29" x14ac:dyDescent="0.35">
      <c r="A1184" s="6" t="s">
        <v>614</v>
      </c>
      <c r="B1184" s="6" t="s">
        <v>615</v>
      </c>
      <c r="C1184" s="6" t="s">
        <v>714</v>
      </c>
      <c r="D1184" s="11" t="s">
        <v>61</v>
      </c>
      <c r="E1184" s="17" t="s">
        <v>287</v>
      </c>
      <c r="F1184" s="17" t="s">
        <v>288</v>
      </c>
      <c r="G1184" s="11" t="s">
        <v>715</v>
      </c>
      <c r="H1184" s="11" t="s">
        <v>716</v>
      </c>
      <c r="I1184" s="17" t="s">
        <v>138</v>
      </c>
      <c r="J1184" s="17">
        <v>17.875764076477001</v>
      </c>
      <c r="K1184" s="17">
        <v>-96.199974910381002</v>
      </c>
      <c r="L1184" s="17" t="str">
        <f>HYPERLINK("https://maps.google.com/?q=17.875764076477,-96.199974910381", "🔗 Ver Mapa")</f>
        <v>🔗 Ver Mapa</v>
      </c>
    </row>
    <row r="1185" spans="1:12" ht="29" x14ac:dyDescent="0.35">
      <c r="A1185" s="5" t="s">
        <v>614</v>
      </c>
      <c r="B1185" s="5" t="s">
        <v>615</v>
      </c>
      <c r="C1185" s="5" t="s">
        <v>616</v>
      </c>
      <c r="D1185" s="8" t="s">
        <v>61</v>
      </c>
      <c r="E1185" s="16" t="s">
        <v>287</v>
      </c>
      <c r="F1185" s="16" t="s">
        <v>288</v>
      </c>
      <c r="G1185" s="8" t="s">
        <v>582</v>
      </c>
      <c r="H1185" s="8" t="s">
        <v>583</v>
      </c>
      <c r="I1185" s="16" t="s">
        <v>138</v>
      </c>
      <c r="J1185" s="16">
        <v>18.536219080243001</v>
      </c>
      <c r="K1185" s="16">
        <v>-96.606834029430004</v>
      </c>
      <c r="L1185" s="16" t="str">
        <f>HYPERLINK("https://maps.google.com/?q=18.536219080243,-96.60683402943", "🔗 Ver Mapa")</f>
        <v>🔗 Ver Mapa</v>
      </c>
    </row>
    <row r="1186" spans="1:12" ht="29" x14ac:dyDescent="0.35">
      <c r="A1186" s="6" t="s">
        <v>614</v>
      </c>
      <c r="B1186" s="6" t="s">
        <v>615</v>
      </c>
      <c r="C1186" s="6" t="s">
        <v>717</v>
      </c>
      <c r="D1186" s="11" t="s">
        <v>61</v>
      </c>
      <c r="E1186" s="17" t="s">
        <v>287</v>
      </c>
      <c r="F1186" s="17" t="s">
        <v>288</v>
      </c>
      <c r="G1186" s="11" t="s">
        <v>718</v>
      </c>
      <c r="H1186" s="11" t="s">
        <v>719</v>
      </c>
      <c r="I1186" s="17" t="s">
        <v>138</v>
      </c>
      <c r="J1186" s="17">
        <v>18.099164345569999</v>
      </c>
      <c r="K1186" s="17">
        <v>-95.882220267528993</v>
      </c>
      <c r="L1186" s="17" t="str">
        <f>HYPERLINK("https://maps.google.com/?q=18.09916434557,-95.882220267529", "🔗 Ver Mapa")</f>
        <v>🔗 Ver Mapa</v>
      </c>
    </row>
    <row r="1187" spans="1:12" ht="43.5" x14ac:dyDescent="0.35">
      <c r="A1187" s="5" t="s">
        <v>614</v>
      </c>
      <c r="B1187" s="5" t="s">
        <v>615</v>
      </c>
      <c r="C1187" s="5" t="s">
        <v>720</v>
      </c>
      <c r="D1187" s="8" t="s">
        <v>61</v>
      </c>
      <c r="E1187" s="16" t="s">
        <v>287</v>
      </c>
      <c r="F1187" s="16" t="s">
        <v>288</v>
      </c>
      <c r="G1187" s="8" t="s">
        <v>721</v>
      </c>
      <c r="H1187" s="8" t="s">
        <v>722</v>
      </c>
      <c r="I1187" s="16" t="s">
        <v>138</v>
      </c>
      <c r="J1187" s="16">
        <v>18.064859274812999</v>
      </c>
      <c r="K1187" s="16">
        <v>-96.488560030930998</v>
      </c>
      <c r="L1187" s="16" t="str">
        <f>HYPERLINK("https://maps.google.com/?q=18.064859274813,-96.488560030931", "🔗 Ver Mapa")</f>
        <v>🔗 Ver Mapa</v>
      </c>
    </row>
    <row r="1188" spans="1:12" ht="43.5" x14ac:dyDescent="0.35">
      <c r="A1188" s="6" t="s">
        <v>614</v>
      </c>
      <c r="B1188" s="6" t="s">
        <v>615</v>
      </c>
      <c r="C1188" s="6" t="s">
        <v>633</v>
      </c>
      <c r="D1188" s="11" t="s">
        <v>61</v>
      </c>
      <c r="E1188" s="17" t="s">
        <v>287</v>
      </c>
      <c r="F1188" s="17" t="s">
        <v>288</v>
      </c>
      <c r="G1188" s="11" t="s">
        <v>634</v>
      </c>
      <c r="H1188" s="11" t="s">
        <v>635</v>
      </c>
      <c r="I1188" s="17" t="s">
        <v>138</v>
      </c>
      <c r="J1188" s="17">
        <v>17.889498828709002</v>
      </c>
      <c r="K1188" s="17">
        <v>-96.126842293324003</v>
      </c>
      <c r="L1188" s="17" t="str">
        <f>HYPERLINK("https://maps.google.com/?q=17.889498828709,-96.126842293324", "🔗 Ver Mapa")</f>
        <v>🔗 Ver Mapa</v>
      </c>
    </row>
    <row r="1189" spans="1:12" ht="43.5" x14ac:dyDescent="0.35">
      <c r="A1189" s="5" t="s">
        <v>614</v>
      </c>
      <c r="B1189" s="5" t="s">
        <v>615</v>
      </c>
      <c r="C1189" s="5" t="s">
        <v>657</v>
      </c>
      <c r="D1189" s="8" t="s">
        <v>61</v>
      </c>
      <c r="E1189" s="16" t="s">
        <v>287</v>
      </c>
      <c r="F1189" s="16" t="s">
        <v>288</v>
      </c>
      <c r="G1189" s="8" t="s">
        <v>658</v>
      </c>
      <c r="H1189" s="8" t="s">
        <v>659</v>
      </c>
      <c r="I1189" s="16" t="s">
        <v>138</v>
      </c>
      <c r="J1189" s="16">
        <v>18.091427151493001</v>
      </c>
      <c r="K1189" s="16">
        <v>-96.138600271163995</v>
      </c>
      <c r="L1189" s="16" t="str">
        <f>HYPERLINK("https://maps.google.com/?q=18.091427151493,-96.138600271164", "🔗 Ver Mapa")</f>
        <v>🔗 Ver Mapa</v>
      </c>
    </row>
    <row r="1190" spans="1:12" ht="43.5" x14ac:dyDescent="0.35">
      <c r="A1190" s="6" t="s">
        <v>614</v>
      </c>
      <c r="B1190" s="6" t="s">
        <v>615</v>
      </c>
      <c r="C1190" s="6" t="s">
        <v>683</v>
      </c>
      <c r="D1190" s="11" t="s">
        <v>61</v>
      </c>
      <c r="E1190" s="17" t="s">
        <v>287</v>
      </c>
      <c r="F1190" s="17" t="s">
        <v>288</v>
      </c>
      <c r="G1190" s="11" t="s">
        <v>387</v>
      </c>
      <c r="H1190" s="11" t="s">
        <v>684</v>
      </c>
      <c r="I1190" s="17" t="s">
        <v>138</v>
      </c>
      <c r="J1190" s="17">
        <v>17.712080193936</v>
      </c>
      <c r="K1190" s="17">
        <v>-96.344942890876993</v>
      </c>
      <c r="L1190" s="17" t="str">
        <f>HYPERLINK("https://maps.google.com/?q=17.712080193936,-96.344942890877", "🔗 Ver Mapa")</f>
        <v>🔗 Ver Mapa</v>
      </c>
    </row>
    <row r="1191" spans="1:12" ht="43.5" x14ac:dyDescent="0.35">
      <c r="A1191" s="5" t="s">
        <v>614</v>
      </c>
      <c r="B1191" s="5" t="s">
        <v>615</v>
      </c>
      <c r="C1191" s="5" t="s">
        <v>723</v>
      </c>
      <c r="D1191" s="8" t="s">
        <v>61</v>
      </c>
      <c r="E1191" s="16" t="s">
        <v>287</v>
      </c>
      <c r="F1191" s="16" t="s">
        <v>288</v>
      </c>
      <c r="G1191" s="8" t="s">
        <v>724</v>
      </c>
      <c r="H1191" s="8" t="s">
        <v>725</v>
      </c>
      <c r="I1191" s="16" t="s">
        <v>138</v>
      </c>
      <c r="J1191" s="16">
        <v>18.057229768507</v>
      </c>
      <c r="K1191" s="16">
        <v>-96.397652284377997</v>
      </c>
      <c r="L1191" s="16" t="str">
        <f>HYPERLINK("https://maps.google.com/?q=18.057229768507,-96.397652284378", "🔗 Ver Mapa")</f>
        <v>🔗 Ver Mapa</v>
      </c>
    </row>
    <row r="1192" spans="1:12" ht="43.5" x14ac:dyDescent="0.35">
      <c r="A1192" s="6" t="s">
        <v>614</v>
      </c>
      <c r="B1192" s="6" t="s">
        <v>615</v>
      </c>
      <c r="C1192" s="6" t="s">
        <v>668</v>
      </c>
      <c r="D1192" s="11" t="s">
        <v>61</v>
      </c>
      <c r="E1192" s="17" t="s">
        <v>287</v>
      </c>
      <c r="F1192" s="17" t="s">
        <v>288</v>
      </c>
      <c r="G1192" s="11" t="s">
        <v>669</v>
      </c>
      <c r="H1192" s="11" t="s">
        <v>670</v>
      </c>
      <c r="I1192" s="17" t="s">
        <v>138</v>
      </c>
      <c r="J1192" s="17">
        <v>18.250273833626999</v>
      </c>
      <c r="K1192" s="17">
        <v>-96.397414727682005</v>
      </c>
      <c r="L1192" s="17" t="str">
        <f>HYPERLINK("https://maps.google.com/?q=18.250273833627,-96.397414727682", "🔗 Ver Mapa")</f>
        <v>🔗 Ver Mapa</v>
      </c>
    </row>
    <row r="1193" spans="1:12" ht="43.5" x14ac:dyDescent="0.35">
      <c r="A1193" s="5" t="s">
        <v>614</v>
      </c>
      <c r="B1193" s="5" t="s">
        <v>615</v>
      </c>
      <c r="C1193" s="5" t="s">
        <v>726</v>
      </c>
      <c r="D1193" s="8" t="s">
        <v>61</v>
      </c>
      <c r="E1193" s="16" t="s">
        <v>287</v>
      </c>
      <c r="F1193" s="16" t="s">
        <v>288</v>
      </c>
      <c r="G1193" s="8" t="s">
        <v>289</v>
      </c>
      <c r="H1193" s="8" t="s">
        <v>727</v>
      </c>
      <c r="I1193" s="16" t="s">
        <v>138</v>
      </c>
      <c r="J1193" s="16">
        <v>18.149057403034</v>
      </c>
      <c r="K1193" s="16">
        <v>-96.509125425760004</v>
      </c>
      <c r="L1193" s="16" t="str">
        <f>HYPERLINK("https://maps.google.com/?q=18.149057403034,-96.50912542576", "🔗 Ver Mapa")</f>
        <v>🔗 Ver Mapa</v>
      </c>
    </row>
    <row r="1194" spans="1:12" ht="29" x14ac:dyDescent="0.35">
      <c r="A1194" s="6" t="s">
        <v>614</v>
      </c>
      <c r="B1194" s="6" t="s">
        <v>615</v>
      </c>
      <c r="C1194" s="6" t="s">
        <v>642</v>
      </c>
      <c r="D1194" s="11" t="s">
        <v>61</v>
      </c>
      <c r="E1194" s="17" t="s">
        <v>79</v>
      </c>
      <c r="F1194" s="17" t="s">
        <v>91</v>
      </c>
      <c r="G1194" s="11" t="s">
        <v>643</v>
      </c>
      <c r="H1194" s="11" t="s">
        <v>728</v>
      </c>
      <c r="I1194" s="17" t="s">
        <v>138</v>
      </c>
      <c r="J1194" s="17">
        <v>16.538672936864</v>
      </c>
      <c r="K1194" s="17">
        <v>-97.172179084655994</v>
      </c>
      <c r="L1194" s="17" t="str">
        <f>HYPERLINK("https://maps.google.com/?q=16.538672936864,-97.172179084656", "🔗 Ver Mapa")</f>
        <v>🔗 Ver Mapa</v>
      </c>
    </row>
    <row r="1195" spans="1:12" ht="43.5" x14ac:dyDescent="0.35">
      <c r="A1195" s="5" t="s">
        <v>614</v>
      </c>
      <c r="B1195" s="5" t="s">
        <v>615</v>
      </c>
      <c r="C1195" s="5" t="s">
        <v>729</v>
      </c>
      <c r="D1195" s="8" t="s">
        <v>61</v>
      </c>
      <c r="E1195" s="16" t="s">
        <v>79</v>
      </c>
      <c r="F1195" s="16" t="s">
        <v>91</v>
      </c>
      <c r="G1195" s="8" t="s">
        <v>730</v>
      </c>
      <c r="H1195" s="8" t="s">
        <v>731</v>
      </c>
      <c r="I1195" s="16" t="s">
        <v>138</v>
      </c>
      <c r="J1195" s="16">
        <v>16.534513424993001</v>
      </c>
      <c r="K1195" s="16">
        <v>-97.492395785214995</v>
      </c>
      <c r="L1195" s="16" t="str">
        <f>HYPERLINK("https://maps.google.com/?q=16.534513424993,-97.492395785215", "🔗 Ver Mapa")</f>
        <v>🔗 Ver Mapa</v>
      </c>
    </row>
    <row r="1196" spans="1:12" ht="29" x14ac:dyDescent="0.35">
      <c r="A1196" s="6" t="s">
        <v>614</v>
      </c>
      <c r="B1196" s="6" t="s">
        <v>615</v>
      </c>
      <c r="C1196" s="6" t="s">
        <v>732</v>
      </c>
      <c r="D1196" s="11" t="s">
        <v>61</v>
      </c>
      <c r="E1196" s="17" t="s">
        <v>79</v>
      </c>
      <c r="F1196" s="17" t="s">
        <v>91</v>
      </c>
      <c r="G1196" s="11" t="s">
        <v>733</v>
      </c>
      <c r="H1196" s="11" t="s">
        <v>734</v>
      </c>
      <c r="I1196" s="17" t="s">
        <v>138</v>
      </c>
      <c r="J1196" s="17">
        <v>16.656547331243001</v>
      </c>
      <c r="K1196" s="17">
        <v>-97.458051382248001</v>
      </c>
      <c r="L1196" s="17" t="str">
        <f>HYPERLINK("https://maps.google.com/?q=16.656547331243,-97.458051382248", "🔗 Ver Mapa")</f>
        <v>🔗 Ver Mapa</v>
      </c>
    </row>
    <row r="1197" spans="1:12" ht="29" x14ac:dyDescent="0.35">
      <c r="A1197" s="5" t="s">
        <v>614</v>
      </c>
      <c r="B1197" s="5" t="s">
        <v>615</v>
      </c>
      <c r="C1197" s="5" t="s">
        <v>735</v>
      </c>
      <c r="D1197" s="8" t="s">
        <v>61</v>
      </c>
      <c r="E1197" s="16" t="s">
        <v>79</v>
      </c>
      <c r="F1197" s="16" t="s">
        <v>91</v>
      </c>
      <c r="G1197" s="8" t="s">
        <v>736</v>
      </c>
      <c r="H1197" s="8" t="s">
        <v>737</v>
      </c>
      <c r="I1197" s="16" t="s">
        <v>138</v>
      </c>
      <c r="J1197" s="16">
        <v>16.692162380896001</v>
      </c>
      <c r="K1197" s="16">
        <v>-97.261115798950001</v>
      </c>
      <c r="L1197" s="16" t="str">
        <f>HYPERLINK("https://maps.google.com/?q=16.692162380896,-97.26111579895", "🔗 Ver Mapa")</f>
        <v>🔗 Ver Mapa</v>
      </c>
    </row>
    <row r="1198" spans="1:12" ht="29" x14ac:dyDescent="0.35">
      <c r="A1198" s="6" t="s">
        <v>614</v>
      </c>
      <c r="B1198" s="6" t="s">
        <v>615</v>
      </c>
      <c r="C1198" s="6" t="s">
        <v>738</v>
      </c>
      <c r="D1198" s="11" t="s">
        <v>61</v>
      </c>
      <c r="E1198" s="17" t="s">
        <v>79</v>
      </c>
      <c r="F1198" s="17" t="s">
        <v>91</v>
      </c>
      <c r="G1198" s="11" t="s">
        <v>110</v>
      </c>
      <c r="H1198" s="11" t="s">
        <v>739</v>
      </c>
      <c r="I1198" s="17" t="s">
        <v>138</v>
      </c>
      <c r="J1198" s="17">
        <v>16.681709163349002</v>
      </c>
      <c r="K1198" s="17">
        <v>-96.966490141208993</v>
      </c>
      <c r="L1198" s="17" t="str">
        <f>HYPERLINK("https://maps.google.com/?q=16.681709163349,-96.966490141209", "🔗 Ver Mapa")</f>
        <v>🔗 Ver Mapa</v>
      </c>
    </row>
    <row r="1199" spans="1:12" ht="43.5" x14ac:dyDescent="0.35">
      <c r="A1199" s="5" t="s">
        <v>614</v>
      </c>
      <c r="B1199" s="5" t="s">
        <v>615</v>
      </c>
      <c r="C1199" s="5" t="s">
        <v>740</v>
      </c>
      <c r="D1199" s="8" t="s">
        <v>61</v>
      </c>
      <c r="E1199" s="16" t="s">
        <v>75</v>
      </c>
      <c r="F1199" s="16" t="s">
        <v>86</v>
      </c>
      <c r="G1199" s="8" t="s">
        <v>103</v>
      </c>
      <c r="H1199" s="8" t="s">
        <v>741</v>
      </c>
      <c r="I1199" s="16" t="s">
        <v>138</v>
      </c>
      <c r="J1199" s="16">
        <v>17.065975102509</v>
      </c>
      <c r="K1199" s="16">
        <v>-96.713886317790994</v>
      </c>
      <c r="L1199" s="16" t="str">
        <f>HYPERLINK("https://maps.google.com/?q=17.065975102509,-96.713886317791", "🔗 Ver Mapa")</f>
        <v>🔗 Ver Mapa</v>
      </c>
    </row>
    <row r="1200" spans="1:12" ht="43.5" x14ac:dyDescent="0.35">
      <c r="A1200" s="6" t="s">
        <v>614</v>
      </c>
      <c r="B1200" s="6" t="s">
        <v>615</v>
      </c>
      <c r="C1200" s="6" t="s">
        <v>742</v>
      </c>
      <c r="D1200" s="11" t="s">
        <v>61</v>
      </c>
      <c r="E1200" s="17" t="s">
        <v>75</v>
      </c>
      <c r="F1200" s="17" t="s">
        <v>86</v>
      </c>
      <c r="G1200" s="11" t="s">
        <v>379</v>
      </c>
      <c r="H1200" s="11" t="s">
        <v>743</v>
      </c>
      <c r="I1200" s="17" t="s">
        <v>138</v>
      </c>
      <c r="J1200" s="17">
        <v>17.103332999999999</v>
      </c>
      <c r="K1200" s="17">
        <v>-96.761944</v>
      </c>
      <c r="L1200" s="17" t="str">
        <f>HYPERLINK("https://maps.google.com/?q=17.103333,-96.761944", "🔗 Ver Mapa")</f>
        <v>🔗 Ver Mapa</v>
      </c>
    </row>
    <row r="1201" spans="1:12" ht="43.5" x14ac:dyDescent="0.35">
      <c r="A1201" s="5" t="s">
        <v>614</v>
      </c>
      <c r="B1201" s="5" t="s">
        <v>615</v>
      </c>
      <c r="C1201" s="5" t="s">
        <v>744</v>
      </c>
      <c r="D1201" s="8" t="s">
        <v>61</v>
      </c>
      <c r="E1201" s="16" t="s">
        <v>75</v>
      </c>
      <c r="F1201" s="16" t="s">
        <v>86</v>
      </c>
      <c r="G1201" s="8" t="s">
        <v>112</v>
      </c>
      <c r="H1201" s="8" t="s">
        <v>745</v>
      </c>
      <c r="I1201" s="16" t="s">
        <v>138</v>
      </c>
      <c r="J1201" s="16">
        <v>17.013223996320999</v>
      </c>
      <c r="K1201" s="16">
        <v>-96.741496288361006</v>
      </c>
      <c r="L1201" s="16" t="str">
        <f>HYPERLINK("https://maps.google.com/?q=17.013223996321,-96.741496288361", "🔗 Ver Mapa")</f>
        <v>🔗 Ver Mapa</v>
      </c>
    </row>
    <row r="1202" spans="1:12" ht="29" x14ac:dyDescent="0.35">
      <c r="A1202" s="6" t="s">
        <v>614</v>
      </c>
      <c r="B1202" s="6" t="s">
        <v>615</v>
      </c>
      <c r="C1202" s="6" t="s">
        <v>746</v>
      </c>
      <c r="D1202" s="11" t="s">
        <v>61</v>
      </c>
      <c r="E1202" s="17" t="s">
        <v>75</v>
      </c>
      <c r="F1202" s="17" t="s">
        <v>86</v>
      </c>
      <c r="G1202" s="11" t="s">
        <v>557</v>
      </c>
      <c r="H1202" s="11" t="s">
        <v>558</v>
      </c>
      <c r="I1202" s="17" t="s">
        <v>138</v>
      </c>
      <c r="J1202" s="17">
        <v>17.060448304451999</v>
      </c>
      <c r="K1202" s="17">
        <v>-96.691753780425998</v>
      </c>
      <c r="L1202" s="17" t="str">
        <f>HYPERLINK("https://maps.google.com/?q=17.060448304452,-96.691753780426", "🔗 Ver Mapa")</f>
        <v>🔗 Ver Mapa</v>
      </c>
    </row>
    <row r="1203" spans="1:12" ht="43.5" x14ac:dyDescent="0.35">
      <c r="A1203" s="5" t="s">
        <v>614</v>
      </c>
      <c r="B1203" s="5" t="s">
        <v>615</v>
      </c>
      <c r="C1203" s="5" t="s">
        <v>747</v>
      </c>
      <c r="D1203" s="8" t="s">
        <v>61</v>
      </c>
      <c r="E1203" s="16" t="s">
        <v>75</v>
      </c>
      <c r="F1203" s="16" t="s">
        <v>86</v>
      </c>
      <c r="G1203" s="8" t="s">
        <v>748</v>
      </c>
      <c r="H1203" s="8" t="s">
        <v>749</v>
      </c>
      <c r="I1203" s="16" t="s">
        <v>138</v>
      </c>
      <c r="J1203" s="16">
        <v>17.081621228125002</v>
      </c>
      <c r="K1203" s="16">
        <v>-96.765056898954001</v>
      </c>
      <c r="L1203" s="16" t="str">
        <f>HYPERLINK("https://maps.google.com/?q=17.081621228125,-96.765056898954", "🔗 Ver Mapa")</f>
        <v>🔗 Ver Mapa</v>
      </c>
    </row>
    <row r="1204" spans="1:12" ht="43.5" x14ac:dyDescent="0.35">
      <c r="A1204" s="6" t="s">
        <v>614</v>
      </c>
      <c r="B1204" s="6" t="s">
        <v>615</v>
      </c>
      <c r="C1204" s="6" t="s">
        <v>750</v>
      </c>
      <c r="D1204" s="11" t="s">
        <v>61</v>
      </c>
      <c r="E1204" s="17" t="s">
        <v>75</v>
      </c>
      <c r="F1204" s="17" t="s">
        <v>156</v>
      </c>
      <c r="G1204" s="11" t="s">
        <v>751</v>
      </c>
      <c r="H1204" s="11" t="s">
        <v>752</v>
      </c>
      <c r="I1204" s="17" t="s">
        <v>138</v>
      </c>
      <c r="J1204" s="17">
        <v>16.56360726186</v>
      </c>
      <c r="K1204" s="17">
        <v>-96.700190052569994</v>
      </c>
      <c r="L1204" s="17" t="str">
        <f>HYPERLINK("https://maps.google.com/?q=16.56360726186,-96.70019005257", "🔗 Ver Mapa")</f>
        <v>🔗 Ver Mapa</v>
      </c>
    </row>
    <row r="1205" spans="1:12" ht="29" x14ac:dyDescent="0.35">
      <c r="A1205" s="5" t="s">
        <v>614</v>
      </c>
      <c r="B1205" s="5" t="s">
        <v>615</v>
      </c>
      <c r="C1205" s="5" t="s">
        <v>753</v>
      </c>
      <c r="D1205" s="8" t="s">
        <v>61</v>
      </c>
      <c r="E1205" s="16" t="s">
        <v>75</v>
      </c>
      <c r="F1205" s="16" t="s">
        <v>87</v>
      </c>
      <c r="G1205" s="8" t="s">
        <v>754</v>
      </c>
      <c r="H1205" s="8" t="s">
        <v>755</v>
      </c>
      <c r="I1205" s="16" t="s">
        <v>138</v>
      </c>
      <c r="J1205" s="16">
        <v>17.208267369723998</v>
      </c>
      <c r="K1205" s="16">
        <v>-96.813883635582002</v>
      </c>
      <c r="L1205" s="16" t="str">
        <f>HYPERLINK("https://maps.google.com/?q=17.208267369724,-96.813883635582", "🔗 Ver Mapa")</f>
        <v>🔗 Ver Mapa</v>
      </c>
    </row>
    <row r="1206" spans="1:12" ht="29" x14ac:dyDescent="0.35">
      <c r="A1206" s="6" t="s">
        <v>614</v>
      </c>
      <c r="B1206" s="6" t="s">
        <v>615</v>
      </c>
      <c r="C1206" s="6" t="s">
        <v>756</v>
      </c>
      <c r="D1206" s="11" t="s">
        <v>61</v>
      </c>
      <c r="E1206" s="17" t="s">
        <v>75</v>
      </c>
      <c r="F1206" s="17" t="s">
        <v>87</v>
      </c>
      <c r="G1206" s="11" t="s">
        <v>757</v>
      </c>
      <c r="H1206" s="11" t="s">
        <v>758</v>
      </c>
      <c r="I1206" s="17" t="s">
        <v>138</v>
      </c>
      <c r="J1206" s="17">
        <v>17.179064708148999</v>
      </c>
      <c r="K1206" s="17">
        <v>-96.762524139880995</v>
      </c>
      <c r="L1206" s="17" t="str">
        <f>HYPERLINK("https://maps.google.com/?q=17.179064708149,-96.762524139881", "🔗 Ver Mapa")</f>
        <v>🔗 Ver Mapa</v>
      </c>
    </row>
    <row r="1207" spans="1:12" ht="29" x14ac:dyDescent="0.35">
      <c r="A1207" s="5" t="s">
        <v>614</v>
      </c>
      <c r="B1207" s="5" t="s">
        <v>615</v>
      </c>
      <c r="C1207" s="5" t="s">
        <v>759</v>
      </c>
      <c r="D1207" s="8" t="s">
        <v>61</v>
      </c>
      <c r="E1207" s="16" t="s">
        <v>75</v>
      </c>
      <c r="F1207" s="16" t="s">
        <v>87</v>
      </c>
      <c r="G1207" s="8" t="s">
        <v>760</v>
      </c>
      <c r="H1207" s="8" t="s">
        <v>761</v>
      </c>
      <c r="I1207" s="16" t="s">
        <v>138</v>
      </c>
      <c r="J1207" s="16">
        <v>17.1449444</v>
      </c>
      <c r="K1207" s="16">
        <v>-96.762527779999999</v>
      </c>
      <c r="L1207" s="16" t="str">
        <f>HYPERLINK("https://maps.google.com/?q=17.1449444,-96.76252778", "🔗 Ver Mapa")</f>
        <v>🔗 Ver Mapa</v>
      </c>
    </row>
    <row r="1208" spans="1:12" ht="29" x14ac:dyDescent="0.35">
      <c r="A1208" s="6" t="s">
        <v>614</v>
      </c>
      <c r="B1208" s="6" t="s">
        <v>615</v>
      </c>
      <c r="C1208" s="6" t="s">
        <v>762</v>
      </c>
      <c r="D1208" s="11" t="s">
        <v>61</v>
      </c>
      <c r="E1208" s="17" t="s">
        <v>75</v>
      </c>
      <c r="F1208" s="17" t="s">
        <v>87</v>
      </c>
      <c r="G1208" s="11" t="s">
        <v>763</v>
      </c>
      <c r="H1208" s="11" t="s">
        <v>764</v>
      </c>
      <c r="I1208" s="17" t="s">
        <v>138</v>
      </c>
      <c r="J1208" s="17">
        <v>17.270399999999999</v>
      </c>
      <c r="K1208" s="17">
        <v>-96.889899999999997</v>
      </c>
      <c r="L1208" s="17" t="str">
        <f>HYPERLINK("https://maps.google.com/?q=17.2704,-96.8899", "🔗 Ver Mapa")</f>
        <v>🔗 Ver Mapa</v>
      </c>
    </row>
    <row r="1209" spans="1:12" ht="29" x14ac:dyDescent="0.35">
      <c r="A1209" s="5" t="s">
        <v>614</v>
      </c>
      <c r="B1209" s="5" t="s">
        <v>615</v>
      </c>
      <c r="C1209" s="5" t="s">
        <v>765</v>
      </c>
      <c r="D1209" s="8" t="s">
        <v>61</v>
      </c>
      <c r="E1209" s="16" t="s">
        <v>75</v>
      </c>
      <c r="F1209" s="16" t="s">
        <v>149</v>
      </c>
      <c r="G1209" s="8" t="s">
        <v>766</v>
      </c>
      <c r="H1209" s="8" t="s">
        <v>767</v>
      </c>
      <c r="I1209" s="16" t="s">
        <v>138</v>
      </c>
      <c r="J1209" s="16">
        <v>16.681967610977999</v>
      </c>
      <c r="K1209" s="16">
        <v>-96.638691466270004</v>
      </c>
      <c r="L1209" s="16" t="str">
        <f>HYPERLINK("https://maps.google.com/?q=16.681967610978,-96.63869146627", "🔗 Ver Mapa")</f>
        <v>🔗 Ver Mapa</v>
      </c>
    </row>
    <row r="1210" spans="1:12" ht="29" x14ac:dyDescent="0.35">
      <c r="A1210" s="6" t="s">
        <v>614</v>
      </c>
      <c r="B1210" s="6" t="s">
        <v>615</v>
      </c>
      <c r="C1210" s="6" t="s">
        <v>768</v>
      </c>
      <c r="D1210" s="11" t="s">
        <v>61</v>
      </c>
      <c r="E1210" s="17" t="s">
        <v>75</v>
      </c>
      <c r="F1210" s="17" t="s">
        <v>84</v>
      </c>
      <c r="G1210" s="11" t="s">
        <v>769</v>
      </c>
      <c r="H1210" s="11" t="s">
        <v>770</v>
      </c>
      <c r="I1210" s="17" t="s">
        <v>138</v>
      </c>
      <c r="J1210" s="17">
        <v>16.788327864222001</v>
      </c>
      <c r="K1210" s="17">
        <v>-96.404038253967002</v>
      </c>
      <c r="L1210" s="17" t="str">
        <f>HYPERLINK("https://maps.google.com/?q=16.788327864222,-96.404038253967", "🔗 Ver Mapa")</f>
        <v>🔗 Ver Mapa</v>
      </c>
    </row>
    <row r="1211" spans="1:12" ht="29" x14ac:dyDescent="0.35">
      <c r="A1211" s="5" t="s">
        <v>614</v>
      </c>
      <c r="B1211" s="5" t="s">
        <v>615</v>
      </c>
      <c r="C1211" s="5" t="s">
        <v>771</v>
      </c>
      <c r="D1211" s="8" t="s">
        <v>61</v>
      </c>
      <c r="E1211" s="16" t="s">
        <v>75</v>
      </c>
      <c r="F1211" s="16" t="s">
        <v>84</v>
      </c>
      <c r="G1211" s="8" t="s">
        <v>772</v>
      </c>
      <c r="H1211" s="8" t="s">
        <v>773</v>
      </c>
      <c r="I1211" s="16" t="s">
        <v>138</v>
      </c>
      <c r="J1211" s="16">
        <v>16.557982717122002</v>
      </c>
      <c r="K1211" s="16">
        <v>-96.359376303708999</v>
      </c>
      <c r="L1211" s="16" t="str">
        <f>HYPERLINK("https://maps.google.com/?q=16.557982717122,-96.359376303709", "🔗 Ver Mapa")</f>
        <v>🔗 Ver Mapa</v>
      </c>
    </row>
    <row r="1212" spans="1:12" ht="43.5" x14ac:dyDescent="0.35">
      <c r="A1212" s="6" t="s">
        <v>614</v>
      </c>
      <c r="B1212" s="6" t="s">
        <v>615</v>
      </c>
      <c r="C1212" s="6" t="s">
        <v>774</v>
      </c>
      <c r="D1212" s="11" t="s">
        <v>61</v>
      </c>
      <c r="E1212" s="17" t="s">
        <v>75</v>
      </c>
      <c r="F1212" s="17" t="s">
        <v>84</v>
      </c>
      <c r="G1212" s="11" t="s">
        <v>775</v>
      </c>
      <c r="H1212" s="11" t="s">
        <v>776</v>
      </c>
      <c r="I1212" s="17" t="s">
        <v>138</v>
      </c>
      <c r="J1212" s="17">
        <v>16.918618698362</v>
      </c>
      <c r="K1212" s="17">
        <v>-96.361411407410003</v>
      </c>
      <c r="L1212" s="17" t="str">
        <f>HYPERLINK("https://maps.google.com/?q=16.918618698362,-96.36141140741", "🔗 Ver Mapa")</f>
        <v>🔗 Ver Mapa</v>
      </c>
    </row>
    <row r="1213" spans="1:12" ht="29" x14ac:dyDescent="0.35">
      <c r="A1213" s="5" t="s">
        <v>614</v>
      </c>
      <c r="B1213" s="5" t="s">
        <v>615</v>
      </c>
      <c r="C1213" s="5" t="s">
        <v>777</v>
      </c>
      <c r="D1213" s="8" t="s">
        <v>61</v>
      </c>
      <c r="E1213" s="16" t="s">
        <v>75</v>
      </c>
      <c r="F1213" s="16" t="s">
        <v>84</v>
      </c>
      <c r="G1213" s="8" t="s">
        <v>98</v>
      </c>
      <c r="H1213" s="8" t="s">
        <v>778</v>
      </c>
      <c r="I1213" s="16" t="s">
        <v>138</v>
      </c>
      <c r="J1213" s="16">
        <v>16.828473751882001</v>
      </c>
      <c r="K1213" s="16">
        <v>-96.493005038028997</v>
      </c>
      <c r="L1213" s="16" t="str">
        <f>HYPERLINK("https://maps.google.com/?q=16.828473751882,-96.493005038029", "🔗 Ver Mapa")</f>
        <v>🔗 Ver Mapa</v>
      </c>
    </row>
    <row r="1214" spans="1:12" ht="43.5" x14ac:dyDescent="0.35">
      <c r="A1214" s="6" t="s">
        <v>614</v>
      </c>
      <c r="B1214" s="6" t="s">
        <v>615</v>
      </c>
      <c r="C1214" s="6" t="s">
        <v>779</v>
      </c>
      <c r="D1214" s="11" t="s">
        <v>61</v>
      </c>
      <c r="E1214" s="17" t="s">
        <v>75</v>
      </c>
      <c r="F1214" s="17" t="s">
        <v>84</v>
      </c>
      <c r="G1214" s="11" t="s">
        <v>780</v>
      </c>
      <c r="H1214" s="11" t="s">
        <v>781</v>
      </c>
      <c r="I1214" s="17" t="s">
        <v>138</v>
      </c>
      <c r="J1214" s="17">
        <v>16.954940078265999</v>
      </c>
      <c r="K1214" s="17">
        <v>-96.472949661377001</v>
      </c>
      <c r="L1214" s="17" t="str">
        <f>HYPERLINK("https://maps.google.com/?q=16.954940078266,-96.472949661377", "🔗 Ver Mapa")</f>
        <v>🔗 Ver Mapa</v>
      </c>
    </row>
    <row r="1215" spans="1:12" ht="29" x14ac:dyDescent="0.35">
      <c r="A1215" s="5" t="s">
        <v>614</v>
      </c>
      <c r="B1215" s="5" t="s">
        <v>615</v>
      </c>
      <c r="C1215" s="5" t="s">
        <v>782</v>
      </c>
      <c r="D1215" s="8" t="s">
        <v>61</v>
      </c>
      <c r="E1215" s="16" t="s">
        <v>75</v>
      </c>
      <c r="F1215" s="16" t="s">
        <v>84</v>
      </c>
      <c r="G1215" s="8" t="s">
        <v>783</v>
      </c>
      <c r="H1215" s="8" t="s">
        <v>784</v>
      </c>
      <c r="I1215" s="16" t="s">
        <v>138</v>
      </c>
      <c r="J1215" s="16">
        <v>17.012516386720002</v>
      </c>
      <c r="K1215" s="16">
        <v>-96.418055217266001</v>
      </c>
      <c r="L1215" s="16" t="str">
        <f>HYPERLINK("https://maps.google.com/?q=17.01251638672,-96.418055217266", "🔗 Ver Mapa")</f>
        <v>🔗 Ver Mapa</v>
      </c>
    </row>
    <row r="1216" spans="1:12" ht="29" x14ac:dyDescent="0.35">
      <c r="A1216" s="6" t="s">
        <v>614</v>
      </c>
      <c r="B1216" s="6" t="s">
        <v>615</v>
      </c>
      <c r="C1216" s="6" t="s">
        <v>785</v>
      </c>
      <c r="D1216" s="11" t="s">
        <v>61</v>
      </c>
      <c r="E1216" s="17" t="s">
        <v>75</v>
      </c>
      <c r="F1216" s="17" t="s">
        <v>267</v>
      </c>
      <c r="G1216" s="11" t="s">
        <v>268</v>
      </c>
      <c r="H1216" s="11" t="s">
        <v>786</v>
      </c>
      <c r="I1216" s="17" t="s">
        <v>138</v>
      </c>
      <c r="J1216" s="17">
        <v>16.951015163280001</v>
      </c>
      <c r="K1216" s="17">
        <v>-96.752568004962995</v>
      </c>
      <c r="L1216" s="17" t="str">
        <f>HYPERLINK("https://maps.google.com/?q=16.95101516328,-96.752568004963", "🔗 Ver Mapa")</f>
        <v>🔗 Ver Mapa</v>
      </c>
    </row>
    <row r="1217" spans="1:12" ht="29" x14ac:dyDescent="0.35">
      <c r="A1217" s="5" t="s">
        <v>614</v>
      </c>
      <c r="B1217" s="5" t="s">
        <v>615</v>
      </c>
      <c r="C1217" s="5" t="s">
        <v>787</v>
      </c>
      <c r="D1217" s="8" t="s">
        <v>61</v>
      </c>
      <c r="E1217" s="16" t="s">
        <v>75</v>
      </c>
      <c r="F1217" s="16" t="s">
        <v>476</v>
      </c>
      <c r="G1217" s="8" t="s">
        <v>788</v>
      </c>
      <c r="H1217" s="8" t="s">
        <v>789</v>
      </c>
      <c r="I1217" s="16" t="s">
        <v>138</v>
      </c>
      <c r="J1217" s="16">
        <v>16.786506459089001</v>
      </c>
      <c r="K1217" s="16">
        <v>-96.795913466269994</v>
      </c>
      <c r="L1217" s="16" t="str">
        <f>HYPERLINK("https://maps.google.com/?q=16.786506459089,-96.79591346627", "🔗 Ver Mapa")</f>
        <v>🔗 Ver Mapa</v>
      </c>
    </row>
    <row r="1218" spans="1:12" ht="29" x14ac:dyDescent="0.35">
      <c r="A1218" s="6" t="s">
        <v>614</v>
      </c>
      <c r="B1218" s="6" t="s">
        <v>615</v>
      </c>
      <c r="C1218" s="6" t="s">
        <v>717</v>
      </c>
      <c r="D1218" s="11" t="s">
        <v>61</v>
      </c>
      <c r="E1218" s="17" t="s">
        <v>287</v>
      </c>
      <c r="F1218" s="17" t="s">
        <v>288</v>
      </c>
      <c r="G1218" s="11" t="s">
        <v>718</v>
      </c>
      <c r="H1218" s="11" t="s">
        <v>790</v>
      </c>
      <c r="I1218" s="17" t="s">
        <v>138</v>
      </c>
      <c r="J1218" s="17">
        <v>18.009121160814999</v>
      </c>
      <c r="K1218" s="17">
        <v>-95.927554985284999</v>
      </c>
      <c r="L1218" s="17" t="str">
        <f>HYPERLINK("https://maps.google.com/?q=18.009121160815,-95.927554985285", "🔗 Ver Mapa")</f>
        <v>🔗 Ver Mapa</v>
      </c>
    </row>
    <row r="1219" spans="1:12" ht="29" x14ac:dyDescent="0.35">
      <c r="A1219" s="5" t="s">
        <v>614</v>
      </c>
      <c r="B1219" s="5" t="s">
        <v>615</v>
      </c>
      <c r="C1219" s="5" t="s">
        <v>791</v>
      </c>
      <c r="D1219" s="8" t="s">
        <v>61</v>
      </c>
      <c r="E1219" s="16" t="s">
        <v>78</v>
      </c>
      <c r="F1219" s="16" t="s">
        <v>399</v>
      </c>
      <c r="G1219" s="8" t="s">
        <v>792</v>
      </c>
      <c r="H1219" s="8" t="s">
        <v>793</v>
      </c>
      <c r="I1219" s="16" t="s">
        <v>138</v>
      </c>
      <c r="J1219" s="16">
        <v>17.594507918369999</v>
      </c>
      <c r="K1219" s="16">
        <v>-96.55019753373</v>
      </c>
      <c r="L1219" s="16" t="str">
        <f>HYPERLINK("https://maps.google.com/?q=17.59450791837,-96.55019753373", "🔗 Ver Mapa")</f>
        <v>🔗 Ver Mapa</v>
      </c>
    </row>
    <row r="1220" spans="1:12" ht="29" x14ac:dyDescent="0.35">
      <c r="A1220" s="6" t="s">
        <v>614</v>
      </c>
      <c r="B1220" s="6" t="s">
        <v>615</v>
      </c>
      <c r="C1220" s="6" t="s">
        <v>794</v>
      </c>
      <c r="D1220" s="11" t="s">
        <v>61</v>
      </c>
      <c r="E1220" s="17" t="s">
        <v>78</v>
      </c>
      <c r="F1220" s="17" t="s">
        <v>90</v>
      </c>
      <c r="G1220" s="11" t="s">
        <v>530</v>
      </c>
      <c r="H1220" s="11" t="s">
        <v>531</v>
      </c>
      <c r="I1220" s="17" t="s">
        <v>138</v>
      </c>
      <c r="J1220" s="17">
        <v>17.355780518157001</v>
      </c>
      <c r="K1220" s="17">
        <v>-95.418415191644996</v>
      </c>
      <c r="L1220" s="17" t="str">
        <f>HYPERLINK("https://maps.google.com/?q=17.355780518157,-95.418415191645", "🔗 Ver Mapa")</f>
        <v>🔗 Ver Mapa</v>
      </c>
    </row>
    <row r="1221" spans="1:12" ht="29" x14ac:dyDescent="0.35">
      <c r="A1221" s="5" t="s">
        <v>614</v>
      </c>
      <c r="B1221" s="5" t="s">
        <v>615</v>
      </c>
      <c r="C1221" s="5" t="s">
        <v>795</v>
      </c>
      <c r="D1221" s="8" t="s">
        <v>61</v>
      </c>
      <c r="E1221" s="16" t="s">
        <v>79</v>
      </c>
      <c r="F1221" s="16" t="s">
        <v>390</v>
      </c>
      <c r="G1221" s="8" t="s">
        <v>796</v>
      </c>
      <c r="H1221" s="8" t="s">
        <v>797</v>
      </c>
      <c r="I1221" s="16" t="s">
        <v>138</v>
      </c>
      <c r="J1221" s="16">
        <v>17.03778697572</v>
      </c>
      <c r="K1221" s="16">
        <v>-97.941774288361003</v>
      </c>
      <c r="L1221" s="16" t="str">
        <f>HYPERLINK("https://maps.google.com/?q=17.03778697572,-97.941774288361", "🔗 Ver Mapa")</f>
        <v>🔗 Ver Mapa</v>
      </c>
    </row>
    <row r="1222" spans="1:12" ht="29" x14ac:dyDescent="0.35">
      <c r="A1222" s="6" t="s">
        <v>614</v>
      </c>
      <c r="B1222" s="6" t="s">
        <v>615</v>
      </c>
      <c r="C1222" s="6" t="s">
        <v>735</v>
      </c>
      <c r="D1222" s="11" t="s">
        <v>61</v>
      </c>
      <c r="E1222" s="17" t="s">
        <v>79</v>
      </c>
      <c r="F1222" s="17" t="s">
        <v>91</v>
      </c>
      <c r="G1222" s="11" t="s">
        <v>736</v>
      </c>
      <c r="H1222" s="11" t="s">
        <v>798</v>
      </c>
      <c r="I1222" s="17" t="s">
        <v>138</v>
      </c>
      <c r="J1222" s="17">
        <v>16.726026590324999</v>
      </c>
      <c r="K1222" s="17">
        <v>-97.378681224537004</v>
      </c>
      <c r="L1222" s="17" t="str">
        <f>HYPERLINK("https://maps.google.com/?q=16.726026590325,-97.378681224537", "🔗 Ver Mapa")</f>
        <v>🔗 Ver Mapa</v>
      </c>
    </row>
    <row r="1223" spans="1:12" ht="29" x14ac:dyDescent="0.35">
      <c r="A1223" s="5" t="s">
        <v>614</v>
      </c>
      <c r="B1223" s="5" t="s">
        <v>615</v>
      </c>
      <c r="C1223" s="5" t="s">
        <v>799</v>
      </c>
      <c r="D1223" s="8" t="s">
        <v>61</v>
      </c>
      <c r="E1223" s="16" t="s">
        <v>79</v>
      </c>
      <c r="F1223" s="16" t="s">
        <v>800</v>
      </c>
      <c r="G1223" s="8" t="s">
        <v>801</v>
      </c>
      <c r="H1223" s="8" t="s">
        <v>802</v>
      </c>
      <c r="I1223" s="16" t="s">
        <v>138</v>
      </c>
      <c r="J1223" s="16">
        <v>16.183937942448999</v>
      </c>
      <c r="K1223" s="16">
        <v>-95.774390573085995</v>
      </c>
      <c r="L1223" s="16" t="str">
        <f>HYPERLINK("https://maps.google.com/?q=16.183937942449,-95.774390573086", "🔗 Ver Mapa")</f>
        <v>🔗 Ver Mapa</v>
      </c>
    </row>
    <row r="1224" spans="1:12" ht="29" x14ac:dyDescent="0.35">
      <c r="A1224" s="6" t="s">
        <v>614</v>
      </c>
      <c r="B1224" s="6" t="s">
        <v>615</v>
      </c>
      <c r="C1224" s="6" t="s">
        <v>803</v>
      </c>
      <c r="D1224" s="11" t="s">
        <v>61</v>
      </c>
      <c r="E1224" s="17" t="s">
        <v>75</v>
      </c>
      <c r="F1224" s="17" t="s">
        <v>86</v>
      </c>
      <c r="G1224" s="11" t="s">
        <v>804</v>
      </c>
      <c r="H1224" s="11" t="s">
        <v>805</v>
      </c>
      <c r="I1224" s="17" t="s">
        <v>138</v>
      </c>
      <c r="J1224" s="17">
        <v>17.008562267058</v>
      </c>
      <c r="K1224" s="17">
        <v>-96.814192647989003</v>
      </c>
      <c r="L1224" s="17" t="str">
        <f>HYPERLINK("https://maps.google.com/?q=17.008562267058,-96.814192647989", "🔗 Ver Mapa")</f>
        <v>🔗 Ver Mapa</v>
      </c>
    </row>
    <row r="1225" spans="1:12" ht="43.5" x14ac:dyDescent="0.35">
      <c r="A1225" s="5" t="s">
        <v>614</v>
      </c>
      <c r="B1225" s="5" t="s">
        <v>615</v>
      </c>
      <c r="C1225" s="5" t="s">
        <v>740</v>
      </c>
      <c r="D1225" s="8" t="s">
        <v>61</v>
      </c>
      <c r="E1225" s="16" t="s">
        <v>75</v>
      </c>
      <c r="F1225" s="16" t="s">
        <v>86</v>
      </c>
      <c r="G1225" s="8" t="s">
        <v>103</v>
      </c>
      <c r="H1225" s="8" t="s">
        <v>741</v>
      </c>
      <c r="I1225" s="16" t="s">
        <v>138</v>
      </c>
      <c r="J1225" s="16">
        <v>17.067774153879999</v>
      </c>
      <c r="K1225" s="16">
        <v>-96.714265850366999</v>
      </c>
      <c r="L1225" s="16" t="str">
        <f>HYPERLINK("https://maps.google.com/?q=17.06777415388,-96.714265850367", "🔗 Ver Mapa")</f>
        <v>🔗 Ver Mapa</v>
      </c>
    </row>
    <row r="1226" spans="1:12" ht="29" x14ac:dyDescent="0.35">
      <c r="A1226" s="6" t="s">
        <v>614</v>
      </c>
      <c r="B1226" s="6" t="s">
        <v>615</v>
      </c>
      <c r="C1226" s="6" t="s">
        <v>806</v>
      </c>
      <c r="D1226" s="11" t="s">
        <v>61</v>
      </c>
      <c r="E1226" s="17" t="s">
        <v>75</v>
      </c>
      <c r="F1226" s="17" t="s">
        <v>86</v>
      </c>
      <c r="G1226" s="11" t="s">
        <v>807</v>
      </c>
      <c r="H1226" s="11" t="s">
        <v>808</v>
      </c>
      <c r="I1226" s="17" t="s">
        <v>138</v>
      </c>
      <c r="J1226" s="17">
        <v>17.021135999999998</v>
      </c>
      <c r="K1226" s="17">
        <v>-96.698462000000006</v>
      </c>
      <c r="L1226" s="17" t="str">
        <f>HYPERLINK("https://maps.google.com/?q=17.021136,-96.698462", "🔗 Ver Mapa")</f>
        <v>🔗 Ver Mapa</v>
      </c>
    </row>
    <row r="1227" spans="1:12" ht="29" x14ac:dyDescent="0.35">
      <c r="A1227" s="5" t="s">
        <v>614</v>
      </c>
      <c r="B1227" s="5" t="s">
        <v>615</v>
      </c>
      <c r="C1227" s="5" t="s">
        <v>809</v>
      </c>
      <c r="D1227" s="8" t="s">
        <v>61</v>
      </c>
      <c r="E1227" s="16" t="s">
        <v>75</v>
      </c>
      <c r="F1227" s="16" t="s">
        <v>86</v>
      </c>
      <c r="G1227" s="8" t="s">
        <v>810</v>
      </c>
      <c r="H1227" s="8" t="s">
        <v>811</v>
      </c>
      <c r="I1227" s="16" t="s">
        <v>138</v>
      </c>
      <c r="J1227" s="16">
        <v>17.062206826206001</v>
      </c>
      <c r="K1227" s="16">
        <v>-96.674486182872997</v>
      </c>
      <c r="L1227" s="16" t="str">
        <f>HYPERLINK("https://maps.google.com/?q=17.062206826206,-96.674486182873", "🔗 Ver Mapa")</f>
        <v>🔗 Ver Mapa</v>
      </c>
    </row>
    <row r="1228" spans="1:12" ht="29" x14ac:dyDescent="0.35">
      <c r="A1228" s="6" t="s">
        <v>614</v>
      </c>
      <c r="B1228" s="6" t="s">
        <v>615</v>
      </c>
      <c r="C1228" s="6" t="s">
        <v>812</v>
      </c>
      <c r="D1228" s="11" t="s">
        <v>61</v>
      </c>
      <c r="E1228" s="17" t="s">
        <v>75</v>
      </c>
      <c r="F1228" s="17" t="s">
        <v>156</v>
      </c>
      <c r="G1228" s="11" t="s">
        <v>157</v>
      </c>
      <c r="H1228" s="11" t="s">
        <v>813</v>
      </c>
      <c r="I1228" s="17" t="s">
        <v>138</v>
      </c>
      <c r="J1228" s="17">
        <v>16.602411017344998</v>
      </c>
      <c r="K1228" s="17">
        <v>-96.893700345086998</v>
      </c>
      <c r="L1228" s="17" t="str">
        <f>HYPERLINK("https://maps.google.com/?q=16.602411017345,-96.893700345087", "🔗 Ver Mapa")</f>
        <v>🔗 Ver Mapa</v>
      </c>
    </row>
    <row r="1229" spans="1:12" ht="29" x14ac:dyDescent="0.35">
      <c r="A1229" s="5" t="s">
        <v>614</v>
      </c>
      <c r="B1229" s="5" t="s">
        <v>615</v>
      </c>
      <c r="C1229" s="5" t="s">
        <v>814</v>
      </c>
      <c r="D1229" s="8" t="s">
        <v>61</v>
      </c>
      <c r="E1229" s="16" t="s">
        <v>75</v>
      </c>
      <c r="F1229" s="16" t="s">
        <v>156</v>
      </c>
      <c r="G1229" s="8" t="s">
        <v>431</v>
      </c>
      <c r="H1229" s="8" t="s">
        <v>432</v>
      </c>
      <c r="I1229" s="16" t="s">
        <v>138</v>
      </c>
      <c r="J1229" s="16">
        <v>16.658864934023001</v>
      </c>
      <c r="K1229" s="16">
        <v>-96.728988416834994</v>
      </c>
      <c r="L1229" s="16" t="str">
        <f>HYPERLINK("https://maps.google.com/?q=16.658864934023,-96.728988416835", "🔗 Ver Mapa")</f>
        <v>🔗 Ver Mapa</v>
      </c>
    </row>
    <row r="1230" spans="1:12" ht="29" x14ac:dyDescent="0.35">
      <c r="A1230" s="6" t="s">
        <v>614</v>
      </c>
      <c r="B1230" s="6" t="s">
        <v>615</v>
      </c>
      <c r="C1230" s="6" t="s">
        <v>753</v>
      </c>
      <c r="D1230" s="11" t="s">
        <v>61</v>
      </c>
      <c r="E1230" s="17" t="s">
        <v>75</v>
      </c>
      <c r="F1230" s="17" t="s">
        <v>87</v>
      </c>
      <c r="G1230" s="11" t="s">
        <v>754</v>
      </c>
      <c r="H1230" s="11" t="s">
        <v>755</v>
      </c>
      <c r="I1230" s="17" t="s">
        <v>138</v>
      </c>
      <c r="J1230" s="17">
        <v>17.208459530256</v>
      </c>
      <c r="K1230" s="17">
        <v>-96.813966784060995</v>
      </c>
      <c r="L1230" s="17" t="str">
        <f>HYPERLINK("https://maps.google.com/?q=17.208459530256,-96.813966784061", "🔗 Ver Mapa")</f>
        <v>🔗 Ver Mapa</v>
      </c>
    </row>
    <row r="1231" spans="1:12" ht="29" x14ac:dyDescent="0.35">
      <c r="A1231" s="5" t="s">
        <v>614</v>
      </c>
      <c r="B1231" s="5" t="s">
        <v>615</v>
      </c>
      <c r="C1231" s="5" t="s">
        <v>815</v>
      </c>
      <c r="D1231" s="8" t="s">
        <v>61</v>
      </c>
      <c r="E1231" s="16" t="s">
        <v>75</v>
      </c>
      <c r="F1231" s="16" t="s">
        <v>87</v>
      </c>
      <c r="G1231" s="8" t="s">
        <v>816</v>
      </c>
      <c r="H1231" s="8" t="s">
        <v>817</v>
      </c>
      <c r="I1231" s="16" t="s">
        <v>138</v>
      </c>
      <c r="J1231" s="16">
        <v>17.226636222282998</v>
      </c>
      <c r="K1231" s="16">
        <v>-96.778335682209004</v>
      </c>
      <c r="L1231" s="16" t="str">
        <f>HYPERLINK("https://maps.google.com/?q=17.226636222283,-96.778335682209", "🔗 Ver Mapa")</f>
        <v>🔗 Ver Mapa</v>
      </c>
    </row>
    <row r="1232" spans="1:12" ht="29" x14ac:dyDescent="0.35">
      <c r="A1232" s="6" t="s">
        <v>614</v>
      </c>
      <c r="B1232" s="6" t="s">
        <v>615</v>
      </c>
      <c r="C1232" s="6" t="s">
        <v>762</v>
      </c>
      <c r="D1232" s="11" t="s">
        <v>61</v>
      </c>
      <c r="E1232" s="17" t="s">
        <v>75</v>
      </c>
      <c r="F1232" s="17" t="s">
        <v>87</v>
      </c>
      <c r="G1232" s="11" t="s">
        <v>763</v>
      </c>
      <c r="H1232" s="11" t="s">
        <v>818</v>
      </c>
      <c r="I1232" s="17" t="s">
        <v>138</v>
      </c>
      <c r="J1232" s="17">
        <v>17.279702906791002</v>
      </c>
      <c r="K1232" s="17">
        <v>-96.892559008597999</v>
      </c>
      <c r="L1232" s="17" t="str">
        <f>HYPERLINK("https://maps.google.com/?q=17.279702906791,-96.892559008598", "🔗 Ver Mapa")</f>
        <v>🔗 Ver Mapa</v>
      </c>
    </row>
    <row r="1233" spans="1:12" ht="29" x14ac:dyDescent="0.35">
      <c r="A1233" s="5" t="s">
        <v>614</v>
      </c>
      <c r="B1233" s="5" t="s">
        <v>615</v>
      </c>
      <c r="C1233" s="5" t="s">
        <v>819</v>
      </c>
      <c r="D1233" s="8" t="s">
        <v>61</v>
      </c>
      <c r="E1233" s="16" t="s">
        <v>75</v>
      </c>
      <c r="F1233" s="16" t="s">
        <v>87</v>
      </c>
      <c r="G1233" s="8" t="s">
        <v>820</v>
      </c>
      <c r="H1233" s="8" t="s">
        <v>821</v>
      </c>
      <c r="I1233" s="16" t="s">
        <v>138</v>
      </c>
      <c r="J1233" s="16">
        <v>17.048590716675001</v>
      </c>
      <c r="K1233" s="16">
        <v>-97.005173002481001</v>
      </c>
      <c r="L1233" s="16" t="str">
        <f>HYPERLINK("https://maps.google.com/?q=17.048590716675,-97.005173002481", "🔗 Ver Mapa")</f>
        <v>🔗 Ver Mapa</v>
      </c>
    </row>
    <row r="1234" spans="1:12" ht="29" x14ac:dyDescent="0.35">
      <c r="A1234" s="6" t="s">
        <v>614</v>
      </c>
      <c r="B1234" s="6" t="s">
        <v>615</v>
      </c>
      <c r="C1234" s="6" t="s">
        <v>822</v>
      </c>
      <c r="D1234" s="11" t="s">
        <v>61</v>
      </c>
      <c r="E1234" s="17" t="s">
        <v>75</v>
      </c>
      <c r="F1234" s="17" t="s">
        <v>87</v>
      </c>
      <c r="G1234" s="11" t="s">
        <v>823</v>
      </c>
      <c r="H1234" s="11" t="s">
        <v>824</v>
      </c>
      <c r="I1234" s="17" t="s">
        <v>138</v>
      </c>
      <c r="J1234" s="17">
        <v>17.208995627499998</v>
      </c>
      <c r="K1234" s="17">
        <v>-96.797302292170002</v>
      </c>
      <c r="L1234" s="17" t="str">
        <f>HYPERLINK("https://maps.google.com/?q=17.2089956275,-96.79730229217", "🔗 Ver Mapa")</f>
        <v>🔗 Ver Mapa</v>
      </c>
    </row>
    <row r="1235" spans="1:12" ht="29" x14ac:dyDescent="0.35">
      <c r="A1235" s="5" t="s">
        <v>614</v>
      </c>
      <c r="B1235" s="5" t="s">
        <v>615</v>
      </c>
      <c r="C1235" s="5" t="s">
        <v>825</v>
      </c>
      <c r="D1235" s="8" t="s">
        <v>61</v>
      </c>
      <c r="E1235" s="16" t="s">
        <v>75</v>
      </c>
      <c r="F1235" s="16" t="s">
        <v>149</v>
      </c>
      <c r="G1235" s="8" t="s">
        <v>826</v>
      </c>
      <c r="H1235" s="8" t="s">
        <v>827</v>
      </c>
      <c r="I1235" s="16" t="s">
        <v>138</v>
      </c>
      <c r="J1235" s="16">
        <v>16.797379406600001</v>
      </c>
      <c r="K1235" s="16">
        <v>-96.649191942293001</v>
      </c>
      <c r="L1235" s="16" t="str">
        <f>HYPERLINK("https://maps.google.com/?q=16.7973794066,-96.649191942293", "🔗 Ver Mapa")</f>
        <v>🔗 Ver Mapa</v>
      </c>
    </row>
    <row r="1236" spans="1:12" ht="29" x14ac:dyDescent="0.35">
      <c r="A1236" s="6" t="s">
        <v>614</v>
      </c>
      <c r="B1236" s="6" t="s">
        <v>615</v>
      </c>
      <c r="C1236" s="6" t="s">
        <v>774</v>
      </c>
      <c r="D1236" s="11" t="s">
        <v>61</v>
      </c>
      <c r="E1236" s="17" t="s">
        <v>75</v>
      </c>
      <c r="F1236" s="17" t="s">
        <v>84</v>
      </c>
      <c r="G1236" s="11" t="s">
        <v>775</v>
      </c>
      <c r="H1236" s="11" t="s">
        <v>828</v>
      </c>
      <c r="I1236" s="17" t="s">
        <v>138</v>
      </c>
      <c r="J1236" s="17">
        <v>16.938016229235</v>
      </c>
      <c r="K1236" s="17">
        <v>-96.307401149632994</v>
      </c>
      <c r="L1236" s="17" t="str">
        <f>HYPERLINK("https://maps.google.com/?q=16.938016229235,-96.307401149633", "🔗 Ver Mapa")</f>
        <v>🔗 Ver Mapa</v>
      </c>
    </row>
    <row r="1237" spans="1:12" ht="29" x14ac:dyDescent="0.35">
      <c r="A1237" s="5" t="s">
        <v>614</v>
      </c>
      <c r="B1237" s="5" t="s">
        <v>615</v>
      </c>
      <c r="C1237" s="5" t="s">
        <v>779</v>
      </c>
      <c r="D1237" s="8" t="s">
        <v>61</v>
      </c>
      <c r="E1237" s="16" t="s">
        <v>75</v>
      </c>
      <c r="F1237" s="16" t="s">
        <v>84</v>
      </c>
      <c r="G1237" s="8" t="s">
        <v>780</v>
      </c>
      <c r="H1237" s="8" t="s">
        <v>829</v>
      </c>
      <c r="I1237" s="16" t="s">
        <v>138</v>
      </c>
      <c r="J1237" s="16">
        <v>16.973889</v>
      </c>
      <c r="K1237" s="16">
        <v>-96.504444000000007</v>
      </c>
      <c r="L1237" s="16" t="str">
        <f>HYPERLINK("https://maps.google.com/?q=16.973889,-96.504444", "🔗 Ver Mapa")</f>
        <v>🔗 Ver Mapa</v>
      </c>
    </row>
    <row r="1238" spans="1:12" ht="29" x14ac:dyDescent="0.35">
      <c r="A1238" s="6" t="s">
        <v>614</v>
      </c>
      <c r="B1238" s="6" t="s">
        <v>615</v>
      </c>
      <c r="C1238" s="6" t="s">
        <v>830</v>
      </c>
      <c r="D1238" s="11" t="s">
        <v>61</v>
      </c>
      <c r="E1238" s="17" t="s">
        <v>75</v>
      </c>
      <c r="F1238" s="17" t="s">
        <v>267</v>
      </c>
      <c r="G1238" s="11" t="s">
        <v>831</v>
      </c>
      <c r="H1238" s="11" t="s">
        <v>832</v>
      </c>
      <c r="I1238" s="17" t="s">
        <v>138</v>
      </c>
      <c r="J1238" s="17">
        <v>16.886159292814</v>
      </c>
      <c r="K1238" s="17">
        <v>-97.170199440302</v>
      </c>
      <c r="L1238" s="17" t="str">
        <f>HYPERLINK("https://maps.google.com/?q=16.886159292814,-97.170199440302", "🔗 Ver Mapa")</f>
        <v>🔗 Ver Mapa</v>
      </c>
    </row>
    <row r="1239" spans="1:12" ht="29" x14ac:dyDescent="0.35">
      <c r="A1239" s="5" t="s">
        <v>614</v>
      </c>
      <c r="B1239" s="5" t="s">
        <v>615</v>
      </c>
      <c r="C1239" s="5" t="s">
        <v>785</v>
      </c>
      <c r="D1239" s="8" t="s">
        <v>61</v>
      </c>
      <c r="E1239" s="16" t="s">
        <v>75</v>
      </c>
      <c r="F1239" s="16" t="s">
        <v>267</v>
      </c>
      <c r="G1239" s="8" t="s">
        <v>268</v>
      </c>
      <c r="H1239" s="8" t="s">
        <v>786</v>
      </c>
      <c r="I1239" s="16" t="s">
        <v>138</v>
      </c>
      <c r="J1239" s="16">
        <v>16.971001000000001</v>
      </c>
      <c r="K1239" s="16">
        <v>-96.805818000000002</v>
      </c>
      <c r="L1239" s="16" t="str">
        <f>HYPERLINK("https://maps.google.com/?q=16.971001,-96.805818", "🔗 Ver Mapa")</f>
        <v>🔗 Ver Mapa</v>
      </c>
    </row>
    <row r="1240" spans="1:12" ht="43.5" x14ac:dyDescent="0.35">
      <c r="A1240" s="6" t="s">
        <v>614</v>
      </c>
      <c r="B1240" s="6" t="s">
        <v>615</v>
      </c>
      <c r="C1240" s="6" t="s">
        <v>833</v>
      </c>
      <c r="D1240" s="11" t="s">
        <v>61</v>
      </c>
      <c r="E1240" s="17" t="s">
        <v>75</v>
      </c>
      <c r="F1240" s="17" t="s">
        <v>476</v>
      </c>
      <c r="G1240" s="11" t="s">
        <v>834</v>
      </c>
      <c r="H1240" s="11" t="s">
        <v>835</v>
      </c>
      <c r="I1240" s="17" t="s">
        <v>138</v>
      </c>
      <c r="J1240" s="17">
        <v>16.741292081027002</v>
      </c>
      <c r="K1240" s="17">
        <v>-96.835795449073998</v>
      </c>
      <c r="L1240" s="17" t="str">
        <f>HYPERLINK("https://maps.google.com/?q=16.741292081027,-96.835795449074", "🔗 Ver Mapa")</f>
        <v>🔗 Ver Mapa</v>
      </c>
    </row>
    <row r="1241" spans="1:12" ht="29" x14ac:dyDescent="0.35">
      <c r="A1241" s="5" t="s">
        <v>614</v>
      </c>
      <c r="B1241" s="5" t="s">
        <v>615</v>
      </c>
      <c r="C1241" s="5" t="s">
        <v>836</v>
      </c>
      <c r="D1241" s="8" t="s">
        <v>61</v>
      </c>
      <c r="E1241" s="16" t="s">
        <v>164</v>
      </c>
      <c r="F1241" s="16" t="s">
        <v>394</v>
      </c>
      <c r="G1241" s="8" t="s">
        <v>837</v>
      </c>
      <c r="H1241" s="8" t="s">
        <v>838</v>
      </c>
      <c r="I1241" s="16" t="s">
        <v>138</v>
      </c>
      <c r="J1241" s="16">
        <v>18.101521463497999</v>
      </c>
      <c r="K1241" s="16">
        <v>-97.054245516533001</v>
      </c>
      <c r="L1241" s="16" t="str">
        <f>HYPERLINK("https://maps.google.com/?q=18.101521463498,-97.054245516533", "🔗 Ver Mapa")</f>
        <v>🔗 Ver Mapa</v>
      </c>
    </row>
    <row r="1242" spans="1:12" ht="29" x14ac:dyDescent="0.35">
      <c r="A1242" s="6" t="s">
        <v>614</v>
      </c>
      <c r="B1242" s="6" t="s">
        <v>615</v>
      </c>
      <c r="C1242" s="6" t="s">
        <v>839</v>
      </c>
      <c r="D1242" s="11" t="s">
        <v>61</v>
      </c>
      <c r="E1242" s="17" t="s">
        <v>164</v>
      </c>
      <c r="F1242" s="17" t="s">
        <v>165</v>
      </c>
      <c r="G1242" s="11" t="s">
        <v>264</v>
      </c>
      <c r="H1242" s="11" t="s">
        <v>840</v>
      </c>
      <c r="I1242" s="17" t="s">
        <v>138</v>
      </c>
      <c r="J1242" s="17">
        <v>18.021939951756998</v>
      </c>
      <c r="K1242" s="17">
        <v>-96.610575870331004</v>
      </c>
      <c r="L1242" s="17" t="str">
        <f>HYPERLINK("https://maps.google.com/?q=18.021939951757,-96.610575870331", "🔗 Ver Mapa")</f>
        <v>🔗 Ver Mapa</v>
      </c>
    </row>
    <row r="1243" spans="1:12" ht="29" x14ac:dyDescent="0.35">
      <c r="A1243" s="5" t="s">
        <v>614</v>
      </c>
      <c r="B1243" s="5" t="s">
        <v>615</v>
      </c>
      <c r="C1243" s="5" t="s">
        <v>841</v>
      </c>
      <c r="D1243" s="8" t="s">
        <v>61</v>
      </c>
      <c r="E1243" s="16" t="s">
        <v>164</v>
      </c>
      <c r="F1243" s="16" t="s">
        <v>165</v>
      </c>
      <c r="G1243" s="8" t="s">
        <v>842</v>
      </c>
      <c r="H1243" s="8" t="s">
        <v>843</v>
      </c>
      <c r="I1243" s="16" t="s">
        <v>138</v>
      </c>
      <c r="J1243" s="16">
        <v>17.773622087631001</v>
      </c>
      <c r="K1243" s="16">
        <v>-96.979562017196997</v>
      </c>
      <c r="L1243" s="16" t="str">
        <f>HYPERLINK("https://maps.google.com/?q=17.773622087631,-96.979562017197", "🔗 Ver Mapa")</f>
        <v>🔗 Ver Mapa</v>
      </c>
    </row>
    <row r="1244" spans="1:12" ht="29" x14ac:dyDescent="0.35">
      <c r="A1244" s="6" t="s">
        <v>614</v>
      </c>
      <c r="B1244" s="6" t="s">
        <v>615</v>
      </c>
      <c r="C1244" s="6" t="s">
        <v>844</v>
      </c>
      <c r="D1244" s="11" t="s">
        <v>61</v>
      </c>
      <c r="E1244" s="17" t="s">
        <v>74</v>
      </c>
      <c r="F1244" s="17" t="s">
        <v>82</v>
      </c>
      <c r="G1244" s="11" t="s">
        <v>845</v>
      </c>
      <c r="H1244" s="11" t="s">
        <v>846</v>
      </c>
      <c r="I1244" s="17" t="s">
        <v>138</v>
      </c>
      <c r="J1244" s="17">
        <v>16.384319195583998</v>
      </c>
      <c r="K1244" s="17">
        <v>-97.991681143516999</v>
      </c>
      <c r="L1244" s="17" t="str">
        <f>HYPERLINK("https://maps.google.com/?q=16.384319195584,-97.991681143517", "🔗 Ver Mapa")</f>
        <v>🔗 Ver Mapa</v>
      </c>
    </row>
    <row r="1245" spans="1:12" ht="29" x14ac:dyDescent="0.35">
      <c r="A1245" s="5" t="s">
        <v>614</v>
      </c>
      <c r="B1245" s="5" t="s">
        <v>615</v>
      </c>
      <c r="C1245" s="5" t="s">
        <v>847</v>
      </c>
      <c r="D1245" s="8" t="s">
        <v>61</v>
      </c>
      <c r="E1245" s="16" t="s">
        <v>74</v>
      </c>
      <c r="F1245" s="16" t="s">
        <v>89</v>
      </c>
      <c r="G1245" s="8" t="s">
        <v>220</v>
      </c>
      <c r="H1245" s="8" t="s">
        <v>848</v>
      </c>
      <c r="I1245" s="16" t="s">
        <v>138</v>
      </c>
      <c r="J1245" s="16">
        <v>15.967747557326</v>
      </c>
      <c r="K1245" s="16">
        <v>-96.020038500664</v>
      </c>
      <c r="L1245" s="16" t="str">
        <f>HYPERLINK("https://maps.google.com/?q=15.967747557326,-96.020038500664", "🔗 Ver Mapa")</f>
        <v>🔗 Ver Mapa</v>
      </c>
    </row>
    <row r="1246" spans="1:12" ht="43.5" x14ac:dyDescent="0.35">
      <c r="A1246" s="6" t="s">
        <v>614</v>
      </c>
      <c r="B1246" s="6" t="s">
        <v>615</v>
      </c>
      <c r="C1246" s="6" t="s">
        <v>674</v>
      </c>
      <c r="D1246" s="11" t="s">
        <v>61</v>
      </c>
      <c r="E1246" s="17" t="s">
        <v>74</v>
      </c>
      <c r="F1246" s="17" t="s">
        <v>453</v>
      </c>
      <c r="G1246" s="11" t="s">
        <v>675</v>
      </c>
      <c r="H1246" s="11" t="s">
        <v>676</v>
      </c>
      <c r="I1246" s="17" t="s">
        <v>138</v>
      </c>
      <c r="J1246" s="17">
        <v>15.862026562502001</v>
      </c>
      <c r="K1246" s="17">
        <v>-97.074353971896997</v>
      </c>
      <c r="L1246" s="17" t="str">
        <f>HYPERLINK("https://maps.google.com/?q=15.862026562502,-97.074353971897", "🔗 Ver Mapa")</f>
        <v>🔗 Ver Mapa</v>
      </c>
    </row>
    <row r="1247" spans="1:12" ht="43.5" x14ac:dyDescent="0.35">
      <c r="A1247" s="5" t="s">
        <v>614</v>
      </c>
      <c r="B1247" s="5" t="s">
        <v>615</v>
      </c>
      <c r="C1247" s="5" t="s">
        <v>849</v>
      </c>
      <c r="D1247" s="8" t="s">
        <v>61</v>
      </c>
      <c r="E1247" s="16" t="s">
        <v>74</v>
      </c>
      <c r="F1247" s="16" t="s">
        <v>89</v>
      </c>
      <c r="G1247" s="8" t="s">
        <v>108</v>
      </c>
      <c r="H1247" s="8" t="s">
        <v>850</v>
      </c>
      <c r="I1247" s="16" t="s">
        <v>138</v>
      </c>
      <c r="J1247" s="16">
        <v>15.750815754293001</v>
      </c>
      <c r="K1247" s="16">
        <v>-96.468728067458997</v>
      </c>
      <c r="L1247" s="16" t="str">
        <f>HYPERLINK("https://maps.google.com/?q=15.750815754293,-96.468728067459", "🔗 Ver Mapa")</f>
        <v>🔗 Ver Mapa</v>
      </c>
    </row>
    <row r="1248" spans="1:12" ht="29" x14ac:dyDescent="0.35">
      <c r="A1248" s="6" t="s">
        <v>614</v>
      </c>
      <c r="B1248" s="6" t="s">
        <v>615</v>
      </c>
      <c r="C1248" s="6" t="s">
        <v>665</v>
      </c>
      <c r="D1248" s="11" t="s">
        <v>61</v>
      </c>
      <c r="E1248" s="17" t="s">
        <v>74</v>
      </c>
      <c r="F1248" s="17" t="s">
        <v>89</v>
      </c>
      <c r="G1248" s="11" t="s">
        <v>666</v>
      </c>
      <c r="H1248" s="11" t="s">
        <v>851</v>
      </c>
      <c r="I1248" s="17" t="s">
        <v>138</v>
      </c>
      <c r="J1248" s="17">
        <v>15.870355</v>
      </c>
      <c r="K1248" s="17">
        <v>-97.060755999999998</v>
      </c>
      <c r="L1248" s="17" t="str">
        <f>HYPERLINK("https://maps.google.com/?q=15.870355,-97.060756", "🔗 Ver Mapa")</f>
        <v>🔗 Ver Mapa</v>
      </c>
    </row>
    <row r="1249" spans="1:12" ht="43.5" x14ac:dyDescent="0.35">
      <c r="A1249" s="5" t="s">
        <v>614</v>
      </c>
      <c r="B1249" s="5" t="s">
        <v>615</v>
      </c>
      <c r="C1249" s="5" t="s">
        <v>852</v>
      </c>
      <c r="D1249" s="8" t="s">
        <v>61</v>
      </c>
      <c r="E1249" s="16" t="s">
        <v>74</v>
      </c>
      <c r="F1249" s="16" t="s">
        <v>89</v>
      </c>
      <c r="G1249" s="8" t="s">
        <v>111</v>
      </c>
      <c r="H1249" s="8" t="s">
        <v>853</v>
      </c>
      <c r="I1249" s="16" t="s">
        <v>138</v>
      </c>
      <c r="J1249" s="16">
        <v>15.754362653363</v>
      </c>
      <c r="K1249" s="16">
        <v>-96.132335084534006</v>
      </c>
      <c r="L1249" s="16" t="str">
        <f>HYPERLINK("https://maps.google.com/?q=15.754362653363,-96.132335084534", "🔗 Ver Mapa")</f>
        <v>🔗 Ver Mapa</v>
      </c>
    </row>
    <row r="1250" spans="1:12" ht="43.5" x14ac:dyDescent="0.35">
      <c r="A1250" s="6" t="s">
        <v>614</v>
      </c>
      <c r="B1250" s="6" t="s">
        <v>615</v>
      </c>
      <c r="C1250" s="6" t="s">
        <v>854</v>
      </c>
      <c r="D1250" s="11" t="s">
        <v>61</v>
      </c>
      <c r="E1250" s="17" t="s">
        <v>74</v>
      </c>
      <c r="F1250" s="17" t="s">
        <v>82</v>
      </c>
      <c r="G1250" s="11" t="s">
        <v>855</v>
      </c>
      <c r="H1250" s="11" t="s">
        <v>856</v>
      </c>
      <c r="I1250" s="17" t="s">
        <v>138</v>
      </c>
      <c r="J1250" s="17">
        <v>16.174346110384</v>
      </c>
      <c r="K1250" s="17">
        <v>-97.961367904724</v>
      </c>
      <c r="L1250" s="17" t="str">
        <f>HYPERLINK("https://maps.google.com/?q=16.174346110384,-97.961367904724", "🔗 Ver Mapa")</f>
        <v>🔗 Ver Mapa</v>
      </c>
    </row>
    <row r="1251" spans="1:12" ht="43.5" x14ac:dyDescent="0.35">
      <c r="A1251" s="5" t="s">
        <v>614</v>
      </c>
      <c r="B1251" s="5" t="s">
        <v>615</v>
      </c>
      <c r="C1251" s="5" t="s">
        <v>654</v>
      </c>
      <c r="D1251" s="8" t="s">
        <v>61</v>
      </c>
      <c r="E1251" s="16" t="s">
        <v>74</v>
      </c>
      <c r="F1251" s="16" t="s">
        <v>89</v>
      </c>
      <c r="G1251" s="8" t="s">
        <v>655</v>
      </c>
      <c r="H1251" s="8" t="s">
        <v>656</v>
      </c>
      <c r="I1251" s="16" t="s">
        <v>138</v>
      </c>
      <c r="J1251" s="16">
        <v>15.746031006958001</v>
      </c>
      <c r="K1251" s="16">
        <v>-96.546164644179996</v>
      </c>
      <c r="L1251" s="16" t="str">
        <f>HYPERLINK("https://maps.google.com/?q=15.746031006958,-96.54616464418", "🔗 Ver Mapa")</f>
        <v>🔗 Ver Mapa</v>
      </c>
    </row>
    <row r="1252" spans="1:12" ht="43.5" x14ac:dyDescent="0.35">
      <c r="A1252" s="6" t="s">
        <v>614</v>
      </c>
      <c r="B1252" s="6" t="s">
        <v>615</v>
      </c>
      <c r="C1252" s="6" t="s">
        <v>857</v>
      </c>
      <c r="D1252" s="11" t="s">
        <v>61</v>
      </c>
      <c r="E1252" s="17" t="s">
        <v>74</v>
      </c>
      <c r="F1252" s="17" t="s">
        <v>82</v>
      </c>
      <c r="G1252" s="11" t="s">
        <v>230</v>
      </c>
      <c r="H1252" s="11" t="s">
        <v>858</v>
      </c>
      <c r="I1252" s="17" t="s">
        <v>138</v>
      </c>
      <c r="J1252" s="17">
        <v>16.28371135183</v>
      </c>
      <c r="K1252" s="17">
        <v>-97.823772882278007</v>
      </c>
      <c r="L1252" s="17" t="str">
        <f>HYPERLINK("https://maps.google.com/?q=16.28371135183,-97.823772882278", "🔗 Ver Mapa")</f>
        <v>🔗 Ver Mapa</v>
      </c>
    </row>
    <row r="1253" spans="1:12" ht="29" x14ac:dyDescent="0.35">
      <c r="A1253" s="5" t="s">
        <v>614</v>
      </c>
      <c r="B1253" s="5" t="s">
        <v>615</v>
      </c>
      <c r="C1253" s="5" t="s">
        <v>859</v>
      </c>
      <c r="D1253" s="8" t="s">
        <v>61</v>
      </c>
      <c r="E1253" s="16" t="s">
        <v>74</v>
      </c>
      <c r="F1253" s="16" t="s">
        <v>89</v>
      </c>
      <c r="G1253" s="8" t="s">
        <v>534</v>
      </c>
      <c r="H1253" s="8" t="s">
        <v>860</v>
      </c>
      <c r="I1253" s="16" t="s">
        <v>138</v>
      </c>
      <c r="J1253" s="16">
        <v>15.795651408481</v>
      </c>
      <c r="K1253" s="16">
        <v>-96.677296202958999</v>
      </c>
      <c r="L1253" s="16" t="str">
        <f>HYPERLINK("https://maps.google.com/?q=15.795651408481,-96.677296202959", "🔗 Ver Mapa")</f>
        <v>🔗 Ver Mapa</v>
      </c>
    </row>
    <row r="1254" spans="1:12" ht="43.5" x14ac:dyDescent="0.35">
      <c r="A1254" s="6" t="s">
        <v>614</v>
      </c>
      <c r="B1254" s="6" t="s">
        <v>615</v>
      </c>
      <c r="C1254" s="6" t="s">
        <v>861</v>
      </c>
      <c r="D1254" s="11" t="s">
        <v>61</v>
      </c>
      <c r="E1254" s="17" t="s">
        <v>74</v>
      </c>
      <c r="F1254" s="17" t="s">
        <v>453</v>
      </c>
      <c r="G1254" s="11" t="s">
        <v>862</v>
      </c>
      <c r="H1254" s="11" t="s">
        <v>863</v>
      </c>
      <c r="I1254" s="17" t="s">
        <v>138</v>
      </c>
      <c r="J1254" s="17">
        <v>16.109974231191998</v>
      </c>
      <c r="K1254" s="17">
        <v>-97.243514049108001</v>
      </c>
      <c r="L1254" s="17" t="str">
        <f>HYPERLINK("https://maps.google.com/?q=16.109974231192,-97.243514049108", "🔗 Ver Mapa")</f>
        <v>🔗 Ver Mapa</v>
      </c>
    </row>
    <row r="1255" spans="1:12" ht="29" x14ac:dyDescent="0.35">
      <c r="A1255" s="5" t="s">
        <v>614</v>
      </c>
      <c r="B1255" s="5" t="s">
        <v>615</v>
      </c>
      <c r="C1255" s="5" t="s">
        <v>625</v>
      </c>
      <c r="D1255" s="8" t="s">
        <v>61</v>
      </c>
      <c r="E1255" s="16" t="s">
        <v>77</v>
      </c>
      <c r="F1255" s="16" t="s">
        <v>88</v>
      </c>
      <c r="G1255" s="8" t="s">
        <v>107</v>
      </c>
      <c r="H1255" s="8" t="s">
        <v>864</v>
      </c>
      <c r="I1255" s="16" t="s">
        <v>138</v>
      </c>
      <c r="J1255" s="16">
        <v>16.369346271495999</v>
      </c>
      <c r="K1255" s="16">
        <v>-94.960559414680006</v>
      </c>
      <c r="L1255" s="16" t="str">
        <f>HYPERLINK("https://maps.google.com/?q=16.369346271496,-94.96055941468", "🔗 Ver Mapa")</f>
        <v>🔗 Ver Mapa</v>
      </c>
    </row>
    <row r="1256" spans="1:12" ht="29" x14ac:dyDescent="0.35">
      <c r="A1256" s="6" t="s">
        <v>614</v>
      </c>
      <c r="B1256" s="6" t="s">
        <v>615</v>
      </c>
      <c r="C1256" s="6" t="s">
        <v>865</v>
      </c>
      <c r="D1256" s="11" t="s">
        <v>61</v>
      </c>
      <c r="E1256" s="17" t="s">
        <v>77</v>
      </c>
      <c r="F1256" s="17" t="s">
        <v>88</v>
      </c>
      <c r="G1256" s="11" t="s">
        <v>866</v>
      </c>
      <c r="H1256" s="11" t="s">
        <v>867</v>
      </c>
      <c r="I1256" s="17" t="s">
        <v>138</v>
      </c>
      <c r="J1256" s="17">
        <v>17.139409398240002</v>
      </c>
      <c r="K1256" s="17">
        <v>-95.065295434359001</v>
      </c>
      <c r="L1256" s="17" t="str">
        <f>HYPERLINK("https://maps.google.com/?q=17.13940939824,-95.065295434359", "🔗 Ver Mapa")</f>
        <v>🔗 Ver Mapa</v>
      </c>
    </row>
    <row r="1257" spans="1:12" ht="29" x14ac:dyDescent="0.35">
      <c r="A1257" s="5" t="s">
        <v>614</v>
      </c>
      <c r="B1257" s="5" t="s">
        <v>615</v>
      </c>
      <c r="C1257" s="5" t="s">
        <v>868</v>
      </c>
      <c r="D1257" s="8" t="s">
        <v>61</v>
      </c>
      <c r="E1257" s="16" t="s">
        <v>77</v>
      </c>
      <c r="F1257" s="16" t="s">
        <v>201</v>
      </c>
      <c r="G1257" s="8" t="s">
        <v>869</v>
      </c>
      <c r="H1257" s="8" t="s">
        <v>870</v>
      </c>
      <c r="I1257" s="16" t="s">
        <v>138</v>
      </c>
      <c r="J1257" s="16">
        <v>16.193171323148999</v>
      </c>
      <c r="K1257" s="16">
        <v>-95.214997867682001</v>
      </c>
      <c r="L1257" s="16" t="str">
        <f>HYPERLINK("https://maps.google.com/?q=16.193171323149,-95.214997867682", "🔗 Ver Mapa")</f>
        <v>🔗 Ver Mapa</v>
      </c>
    </row>
    <row r="1258" spans="1:12" ht="43.5" x14ac:dyDescent="0.35">
      <c r="A1258" s="6" t="s">
        <v>614</v>
      </c>
      <c r="B1258" s="6" t="s">
        <v>615</v>
      </c>
      <c r="C1258" s="6" t="s">
        <v>871</v>
      </c>
      <c r="D1258" s="11" t="s">
        <v>61</v>
      </c>
      <c r="E1258" s="17" t="s">
        <v>77</v>
      </c>
      <c r="F1258" s="17" t="s">
        <v>88</v>
      </c>
      <c r="G1258" s="11" t="s">
        <v>872</v>
      </c>
      <c r="H1258" s="11" t="s">
        <v>873</v>
      </c>
      <c r="I1258" s="17" t="s">
        <v>138</v>
      </c>
      <c r="J1258" s="17">
        <v>17.224515358784</v>
      </c>
      <c r="K1258" s="17">
        <v>-95.300437200068998</v>
      </c>
      <c r="L1258" s="17" t="str">
        <f>HYPERLINK("https://maps.google.com/?q=17.224515358784,-95.300437200069", "🔗 Ver Mapa")</f>
        <v>🔗 Ver Mapa</v>
      </c>
    </row>
    <row r="1259" spans="1:12" ht="29" x14ac:dyDescent="0.35">
      <c r="A1259" s="5" t="s">
        <v>614</v>
      </c>
      <c r="B1259" s="5" t="s">
        <v>615</v>
      </c>
      <c r="C1259" s="5" t="s">
        <v>618</v>
      </c>
      <c r="D1259" s="8" t="s">
        <v>61</v>
      </c>
      <c r="E1259" s="16" t="s">
        <v>77</v>
      </c>
      <c r="F1259" s="16" t="s">
        <v>88</v>
      </c>
      <c r="G1259" s="8" t="s">
        <v>619</v>
      </c>
      <c r="H1259" s="8" t="s">
        <v>874</v>
      </c>
      <c r="I1259" s="16" t="s">
        <v>138</v>
      </c>
      <c r="J1259" s="16">
        <v>16.702731757224999</v>
      </c>
      <c r="K1259" s="16">
        <v>-94.817199592590001</v>
      </c>
      <c r="L1259" s="16" t="str">
        <f>HYPERLINK("https://maps.google.com/?q=16.702731757225,-94.81719959259", "🔗 Ver Mapa")</f>
        <v>🔗 Ver Mapa</v>
      </c>
    </row>
    <row r="1260" spans="1:12" ht="43.5" x14ac:dyDescent="0.35">
      <c r="A1260" s="6" t="s">
        <v>614</v>
      </c>
      <c r="B1260" s="6" t="s">
        <v>615</v>
      </c>
      <c r="C1260" s="6" t="s">
        <v>875</v>
      </c>
      <c r="D1260" s="11" t="s">
        <v>61</v>
      </c>
      <c r="E1260" s="17" t="s">
        <v>77</v>
      </c>
      <c r="F1260" s="17" t="s">
        <v>88</v>
      </c>
      <c r="G1260" s="11" t="s">
        <v>876</v>
      </c>
      <c r="H1260" s="11" t="s">
        <v>877</v>
      </c>
      <c r="I1260" s="17" t="s">
        <v>138</v>
      </c>
      <c r="J1260" s="17">
        <v>16.330667638701001</v>
      </c>
      <c r="K1260" s="17">
        <v>-94.187382164000994</v>
      </c>
      <c r="L1260" s="17" t="str">
        <f>HYPERLINK("https://maps.google.com/?q=16.330667638701,-94.187382164001", "🔗 Ver Mapa")</f>
        <v>🔗 Ver Mapa</v>
      </c>
    </row>
    <row r="1261" spans="1:12" ht="29" x14ac:dyDescent="0.35">
      <c r="A1261" s="5" t="s">
        <v>614</v>
      </c>
      <c r="B1261" s="5" t="s">
        <v>615</v>
      </c>
      <c r="C1261" s="5" t="s">
        <v>878</v>
      </c>
      <c r="D1261" s="8" t="s">
        <v>61</v>
      </c>
      <c r="E1261" s="16" t="s">
        <v>77</v>
      </c>
      <c r="F1261" s="16" t="s">
        <v>201</v>
      </c>
      <c r="G1261" s="8" t="s">
        <v>879</v>
      </c>
      <c r="H1261" s="8" t="s">
        <v>880</v>
      </c>
      <c r="I1261" s="16" t="s">
        <v>138</v>
      </c>
      <c r="J1261" s="16">
        <v>15.982489685878001</v>
      </c>
      <c r="K1261" s="16">
        <v>-95.677354377979</v>
      </c>
      <c r="L1261" s="16" t="str">
        <f>HYPERLINK("https://maps.google.com/?q=15.982489685878,-95.677354377979", "🔗 Ver Mapa")</f>
        <v>🔗 Ver Mapa</v>
      </c>
    </row>
    <row r="1262" spans="1:12" ht="43.5" x14ac:dyDescent="0.35">
      <c r="A1262" s="6" t="s">
        <v>614</v>
      </c>
      <c r="B1262" s="6" t="s">
        <v>615</v>
      </c>
      <c r="C1262" s="6" t="s">
        <v>881</v>
      </c>
      <c r="D1262" s="11" t="s">
        <v>61</v>
      </c>
      <c r="E1262" s="17" t="s">
        <v>73</v>
      </c>
      <c r="F1262" s="17" t="s">
        <v>187</v>
      </c>
      <c r="G1262" s="11" t="s">
        <v>882</v>
      </c>
      <c r="H1262" s="11" t="s">
        <v>883</v>
      </c>
      <c r="I1262" s="17" t="s">
        <v>138</v>
      </c>
      <c r="J1262" s="17">
        <v>17.436886365045002</v>
      </c>
      <c r="K1262" s="17">
        <v>-97.147097103180002</v>
      </c>
      <c r="L1262" s="17" t="str">
        <f>HYPERLINK("https://maps.google.com/?q=17.436886365045,-97.14709710318", "🔗 Ver Mapa")</f>
        <v>🔗 Ver Mapa</v>
      </c>
    </row>
    <row r="1263" spans="1:12" ht="29" x14ac:dyDescent="0.35">
      <c r="A1263" s="5" t="s">
        <v>614</v>
      </c>
      <c r="B1263" s="5" t="s">
        <v>615</v>
      </c>
      <c r="C1263" s="5" t="s">
        <v>884</v>
      </c>
      <c r="D1263" s="8" t="s">
        <v>61</v>
      </c>
      <c r="E1263" s="16" t="s">
        <v>73</v>
      </c>
      <c r="F1263" s="16" t="s">
        <v>83</v>
      </c>
      <c r="G1263" s="8" t="s">
        <v>885</v>
      </c>
      <c r="H1263" s="8" t="s">
        <v>886</v>
      </c>
      <c r="I1263" s="16" t="s">
        <v>138</v>
      </c>
      <c r="J1263" s="16">
        <v>17.011700677065001</v>
      </c>
      <c r="K1263" s="16">
        <v>-97.574177301400994</v>
      </c>
      <c r="L1263" s="16" t="str">
        <f>HYPERLINK("https://maps.google.com/?q=17.011700677065,-97.574177301401", "🔗 Ver Mapa")</f>
        <v>🔗 Ver Mapa</v>
      </c>
    </row>
    <row r="1264" spans="1:12" ht="43.5" x14ac:dyDescent="0.35">
      <c r="A1264" s="6" t="s">
        <v>614</v>
      </c>
      <c r="B1264" s="6" t="s">
        <v>615</v>
      </c>
      <c r="C1264" s="6" t="s">
        <v>694</v>
      </c>
      <c r="D1264" s="11" t="s">
        <v>61</v>
      </c>
      <c r="E1264" s="17" t="s">
        <v>73</v>
      </c>
      <c r="F1264" s="17" t="s">
        <v>249</v>
      </c>
      <c r="G1264" s="11" t="s">
        <v>695</v>
      </c>
      <c r="H1264" s="11" t="s">
        <v>887</v>
      </c>
      <c r="I1264" s="17" t="s">
        <v>138</v>
      </c>
      <c r="J1264" s="17">
        <v>17.802895473393999</v>
      </c>
      <c r="K1264" s="17">
        <v>-97.786759144843998</v>
      </c>
      <c r="L1264" s="17" t="str">
        <f>HYPERLINK("https://maps.google.com/?q=17.802895473394,-97.786759144844", "🔗 Ver Mapa")</f>
        <v>🔗 Ver Mapa</v>
      </c>
    </row>
    <row r="1265" spans="1:12" ht="43.5" x14ac:dyDescent="0.35">
      <c r="A1265" s="5" t="s">
        <v>614</v>
      </c>
      <c r="B1265" s="5" t="s">
        <v>615</v>
      </c>
      <c r="C1265" s="5" t="s">
        <v>678</v>
      </c>
      <c r="D1265" s="8" t="s">
        <v>61</v>
      </c>
      <c r="E1265" s="16" t="s">
        <v>73</v>
      </c>
      <c r="F1265" s="16" t="s">
        <v>83</v>
      </c>
      <c r="G1265" s="8" t="s">
        <v>212</v>
      </c>
      <c r="H1265" s="8" t="s">
        <v>888</v>
      </c>
      <c r="I1265" s="16" t="s">
        <v>138</v>
      </c>
      <c r="J1265" s="16">
        <v>17.261267343705999</v>
      </c>
      <c r="K1265" s="16">
        <v>-97.688507742050007</v>
      </c>
      <c r="L1265" s="16" t="str">
        <f>HYPERLINK("https://maps.google.com/?q=17.261267343706,-97.68850774205", "🔗 Ver Mapa")</f>
        <v>🔗 Ver Mapa</v>
      </c>
    </row>
    <row r="1266" spans="1:12" ht="29" x14ac:dyDescent="0.35">
      <c r="A1266" s="6" t="s">
        <v>614</v>
      </c>
      <c r="B1266" s="6" t="s">
        <v>615</v>
      </c>
      <c r="C1266" s="6" t="s">
        <v>889</v>
      </c>
      <c r="D1266" s="11" t="s">
        <v>61</v>
      </c>
      <c r="E1266" s="17" t="s">
        <v>73</v>
      </c>
      <c r="F1266" s="17" t="s">
        <v>83</v>
      </c>
      <c r="G1266" s="11" t="s">
        <v>890</v>
      </c>
      <c r="H1266" s="11" t="s">
        <v>891</v>
      </c>
      <c r="I1266" s="17" t="s">
        <v>138</v>
      </c>
      <c r="J1266" s="17">
        <v>17.148057364401001</v>
      </c>
      <c r="K1266" s="17">
        <v>-97.599167949738003</v>
      </c>
      <c r="L1266" s="17" t="str">
        <f>HYPERLINK("https://maps.google.com/?q=17.148057364401,-97.599167949738", "🔗 Ver Mapa")</f>
        <v>🔗 Ver Mapa</v>
      </c>
    </row>
    <row r="1267" spans="1:12" ht="43.5" x14ac:dyDescent="0.35">
      <c r="A1267" s="5" t="s">
        <v>614</v>
      </c>
      <c r="B1267" s="5" t="s">
        <v>615</v>
      </c>
      <c r="C1267" s="5" t="s">
        <v>892</v>
      </c>
      <c r="D1267" s="8" t="s">
        <v>61</v>
      </c>
      <c r="E1267" s="16" t="s">
        <v>73</v>
      </c>
      <c r="F1267" s="16" t="s">
        <v>249</v>
      </c>
      <c r="G1267" s="8" t="s">
        <v>893</v>
      </c>
      <c r="H1267" s="8" t="s">
        <v>894</v>
      </c>
      <c r="I1267" s="16" t="s">
        <v>138</v>
      </c>
      <c r="J1267" s="16">
        <v>18.014668434886001</v>
      </c>
      <c r="K1267" s="16">
        <v>-97.657946979168003</v>
      </c>
      <c r="L1267" s="16" t="str">
        <f>HYPERLINK("https://maps.google.com/?q=18.014668434886,-97.657946979168", "🔗 Ver Mapa")</f>
        <v>🔗 Ver Mapa</v>
      </c>
    </row>
    <row r="1268" spans="1:12" ht="29" x14ac:dyDescent="0.35">
      <c r="A1268" s="6" t="s">
        <v>614</v>
      </c>
      <c r="B1268" s="6" t="s">
        <v>615</v>
      </c>
      <c r="C1268" s="6" t="s">
        <v>895</v>
      </c>
      <c r="D1268" s="11" t="s">
        <v>61</v>
      </c>
      <c r="E1268" s="17" t="s">
        <v>73</v>
      </c>
      <c r="F1268" s="17" t="s">
        <v>585</v>
      </c>
      <c r="G1268" s="11" t="s">
        <v>896</v>
      </c>
      <c r="H1268" s="11" t="s">
        <v>897</v>
      </c>
      <c r="I1268" s="17" t="s">
        <v>138</v>
      </c>
      <c r="J1268" s="17">
        <v>17.384463924212</v>
      </c>
      <c r="K1268" s="17">
        <v>-97.913508126319996</v>
      </c>
      <c r="L1268" s="17" t="str">
        <f>HYPERLINK("https://maps.google.com/?q=17.384463924212,-97.91350812632", "🔗 Ver Mapa")</f>
        <v>🔗 Ver Mapa</v>
      </c>
    </row>
    <row r="1269" spans="1:12" ht="29" x14ac:dyDescent="0.35">
      <c r="A1269" s="5" t="s">
        <v>614</v>
      </c>
      <c r="B1269" s="5" t="s">
        <v>615</v>
      </c>
      <c r="C1269" s="5" t="s">
        <v>898</v>
      </c>
      <c r="D1269" s="8" t="s">
        <v>61</v>
      </c>
      <c r="E1269" s="16" t="s">
        <v>73</v>
      </c>
      <c r="F1269" s="16" t="s">
        <v>511</v>
      </c>
      <c r="G1269" s="8" t="s">
        <v>899</v>
      </c>
      <c r="H1269" s="8" t="s">
        <v>900</v>
      </c>
      <c r="I1269" s="16" t="s">
        <v>138</v>
      </c>
      <c r="J1269" s="16">
        <v>17.666662461312999</v>
      </c>
      <c r="K1269" s="16">
        <v>-98.329862424606006</v>
      </c>
      <c r="L1269" s="16" t="str">
        <f>HYPERLINK("https://maps.google.com/?q=17.666662461313,-98.329862424606", "🔗 Ver Mapa")</f>
        <v>🔗 Ver Mapa</v>
      </c>
    </row>
    <row r="1270" spans="1:12" ht="43.5" x14ac:dyDescent="0.35">
      <c r="A1270" s="6" t="s">
        <v>614</v>
      </c>
      <c r="B1270" s="6" t="s">
        <v>615</v>
      </c>
      <c r="C1270" s="6" t="s">
        <v>901</v>
      </c>
      <c r="D1270" s="11" t="s">
        <v>61</v>
      </c>
      <c r="E1270" s="17" t="s">
        <v>73</v>
      </c>
      <c r="F1270" s="17" t="s">
        <v>249</v>
      </c>
      <c r="G1270" s="11" t="s">
        <v>317</v>
      </c>
      <c r="H1270" s="11" t="s">
        <v>902</v>
      </c>
      <c r="I1270" s="17" t="s">
        <v>138</v>
      </c>
      <c r="J1270" s="17">
        <v>18.088990897058999</v>
      </c>
      <c r="K1270" s="17">
        <v>-97.687827794968001</v>
      </c>
      <c r="L1270" s="17" t="str">
        <f>HYPERLINK("https://maps.google.com/?q=18.088990897059,-97.687827794968", "🔗 Ver Mapa")</f>
        <v>🔗 Ver Mapa</v>
      </c>
    </row>
    <row r="1271" spans="1:12" ht="29" x14ac:dyDescent="0.35">
      <c r="A1271" s="5" t="s">
        <v>614</v>
      </c>
      <c r="B1271" s="5" t="s">
        <v>615</v>
      </c>
      <c r="C1271" s="5" t="s">
        <v>903</v>
      </c>
      <c r="D1271" s="8" t="s">
        <v>61</v>
      </c>
      <c r="E1271" s="16" t="s">
        <v>73</v>
      </c>
      <c r="F1271" s="16" t="s">
        <v>260</v>
      </c>
      <c r="G1271" s="8" t="s">
        <v>904</v>
      </c>
      <c r="H1271" s="8" t="s">
        <v>905</v>
      </c>
      <c r="I1271" s="16" t="s">
        <v>138</v>
      </c>
      <c r="J1271" s="16">
        <v>17.807163618981001</v>
      </c>
      <c r="K1271" s="16">
        <v>-97.471528474869004</v>
      </c>
      <c r="L1271" s="16" t="str">
        <f>HYPERLINK("https://maps.google.com/?q=17.807163618981,-97.471528474869", "🔗 Ver Mapa")</f>
        <v>🔗 Ver Mapa</v>
      </c>
    </row>
    <row r="1272" spans="1:12" ht="43.5" x14ac:dyDescent="0.35">
      <c r="A1272" s="6" t="s">
        <v>614</v>
      </c>
      <c r="B1272" s="6" t="s">
        <v>615</v>
      </c>
      <c r="C1272" s="6" t="s">
        <v>906</v>
      </c>
      <c r="D1272" s="11" t="s">
        <v>61</v>
      </c>
      <c r="E1272" s="17" t="s">
        <v>73</v>
      </c>
      <c r="F1272" s="17" t="s">
        <v>83</v>
      </c>
      <c r="G1272" s="11" t="s">
        <v>907</v>
      </c>
      <c r="H1272" s="11" t="s">
        <v>908</v>
      </c>
      <c r="I1272" s="17" t="s">
        <v>138</v>
      </c>
      <c r="J1272" s="17">
        <v>17.029099298190001</v>
      </c>
      <c r="K1272" s="17">
        <v>-97.781801110450999</v>
      </c>
      <c r="L1272" s="17" t="str">
        <f>HYPERLINK("https://maps.google.com/?q=17.02909929819,-97.781801110451", "🔗 Ver Mapa")</f>
        <v>🔗 Ver Mapa</v>
      </c>
    </row>
    <row r="1273" spans="1:12" ht="43.5" x14ac:dyDescent="0.35">
      <c r="A1273" s="5" t="s">
        <v>614</v>
      </c>
      <c r="B1273" s="5" t="s">
        <v>615</v>
      </c>
      <c r="C1273" s="5" t="s">
        <v>909</v>
      </c>
      <c r="D1273" s="8" t="s">
        <v>61</v>
      </c>
      <c r="E1273" s="16" t="s">
        <v>73</v>
      </c>
      <c r="F1273" s="16" t="s">
        <v>585</v>
      </c>
      <c r="G1273" s="8" t="s">
        <v>586</v>
      </c>
      <c r="H1273" s="8" t="s">
        <v>910</v>
      </c>
      <c r="I1273" s="16" t="s">
        <v>138</v>
      </c>
      <c r="J1273" s="16">
        <v>17.180668998556001</v>
      </c>
      <c r="K1273" s="16">
        <v>-97.933397024814994</v>
      </c>
      <c r="L1273" s="16" t="str">
        <f>HYPERLINK("https://maps.google.com/?q=17.180668998556,-97.933397024815", "🔗 Ver Mapa")</f>
        <v>🔗 Ver Mapa</v>
      </c>
    </row>
    <row r="1274" spans="1:12" ht="29" x14ac:dyDescent="0.35">
      <c r="A1274" s="6" t="s">
        <v>614</v>
      </c>
      <c r="B1274" s="6" t="s">
        <v>615</v>
      </c>
      <c r="C1274" s="6" t="s">
        <v>911</v>
      </c>
      <c r="D1274" s="11" t="s">
        <v>61</v>
      </c>
      <c r="E1274" s="17" t="s">
        <v>73</v>
      </c>
      <c r="F1274" s="17" t="s">
        <v>83</v>
      </c>
      <c r="G1274" s="11" t="s">
        <v>912</v>
      </c>
      <c r="H1274" s="11" t="s">
        <v>913</v>
      </c>
      <c r="I1274" s="17" t="s">
        <v>138</v>
      </c>
      <c r="J1274" s="17">
        <v>17.331779658744001</v>
      </c>
      <c r="K1274" s="17">
        <v>-97.675537391540999</v>
      </c>
      <c r="L1274" s="17" t="str">
        <f>HYPERLINK("https://maps.google.com/?q=17.331779658744,-97.675537391541", "🔗 Ver Mapa")</f>
        <v>🔗 Ver Mapa</v>
      </c>
    </row>
    <row r="1275" spans="1:12" ht="29" x14ac:dyDescent="0.35">
      <c r="A1275" s="5" t="s">
        <v>614</v>
      </c>
      <c r="B1275" s="5" t="s">
        <v>615</v>
      </c>
      <c r="C1275" s="5" t="s">
        <v>914</v>
      </c>
      <c r="D1275" s="8" t="s">
        <v>61</v>
      </c>
      <c r="E1275" s="16" t="s">
        <v>73</v>
      </c>
      <c r="F1275" s="16" t="s">
        <v>511</v>
      </c>
      <c r="G1275" s="8" t="s">
        <v>915</v>
      </c>
      <c r="H1275" s="8" t="s">
        <v>916</v>
      </c>
      <c r="I1275" s="16" t="s">
        <v>138</v>
      </c>
      <c r="J1275" s="16">
        <v>17.863894105787999</v>
      </c>
      <c r="K1275" s="16">
        <v>-98.286223652779</v>
      </c>
      <c r="L1275" s="16" t="str">
        <f>HYPERLINK("https://maps.google.com/?q=17.863894105788,-98.286223652779", "🔗 Ver Mapa")</f>
        <v>🔗 Ver Mapa</v>
      </c>
    </row>
    <row r="1276" spans="1:12" ht="43.5" x14ac:dyDescent="0.35">
      <c r="A1276" s="6" t="s">
        <v>614</v>
      </c>
      <c r="B1276" s="6" t="s">
        <v>615</v>
      </c>
      <c r="C1276" s="6" t="s">
        <v>917</v>
      </c>
      <c r="D1276" s="11" t="s">
        <v>61</v>
      </c>
      <c r="E1276" s="17" t="s">
        <v>73</v>
      </c>
      <c r="F1276" s="17" t="s">
        <v>83</v>
      </c>
      <c r="G1276" s="11" t="s">
        <v>97</v>
      </c>
      <c r="H1276" s="11" t="s">
        <v>918</v>
      </c>
      <c r="I1276" s="17" t="s">
        <v>138</v>
      </c>
      <c r="J1276" s="17">
        <v>17.099861563569998</v>
      </c>
      <c r="K1276" s="17">
        <v>-97.759408398811004</v>
      </c>
      <c r="L1276" s="17" t="str">
        <f>HYPERLINK("https://maps.google.com/?q=17.09986156357,-97.759408398811", "🔗 Ver Mapa")</f>
        <v>🔗 Ver Mapa</v>
      </c>
    </row>
    <row r="1277" spans="1:12" ht="58" x14ac:dyDescent="0.35">
      <c r="A1277" s="5" t="s">
        <v>614</v>
      </c>
      <c r="B1277" s="5" t="s">
        <v>615</v>
      </c>
      <c r="C1277" s="5" t="s">
        <v>919</v>
      </c>
      <c r="D1277" s="8" t="s">
        <v>61</v>
      </c>
      <c r="E1277" s="16" t="s">
        <v>73</v>
      </c>
      <c r="F1277" s="16" t="s">
        <v>249</v>
      </c>
      <c r="G1277" s="8" t="s">
        <v>440</v>
      </c>
      <c r="H1277" s="8" t="s">
        <v>920</v>
      </c>
      <c r="I1277" s="16" t="s">
        <v>138</v>
      </c>
      <c r="J1277" s="16">
        <v>17.573214</v>
      </c>
      <c r="K1277" s="16">
        <v>-97.889366999999993</v>
      </c>
      <c r="L1277" s="16" t="str">
        <f>HYPERLINK("https://maps.google.com/?q=17.573214,-97.889367", "🔗 Ver Mapa")</f>
        <v>🔗 Ver Mapa</v>
      </c>
    </row>
    <row r="1278" spans="1:12" ht="29" x14ac:dyDescent="0.35">
      <c r="A1278" s="6" t="s">
        <v>614</v>
      </c>
      <c r="B1278" s="6" t="s">
        <v>615</v>
      </c>
      <c r="C1278" s="6" t="s">
        <v>921</v>
      </c>
      <c r="D1278" s="11" t="s">
        <v>61</v>
      </c>
      <c r="E1278" s="17" t="s">
        <v>287</v>
      </c>
      <c r="F1278" s="17" t="s">
        <v>288</v>
      </c>
      <c r="G1278" s="11" t="s">
        <v>922</v>
      </c>
      <c r="H1278" s="11" t="s">
        <v>923</v>
      </c>
      <c r="I1278" s="17" t="s">
        <v>138</v>
      </c>
      <c r="J1278" s="17">
        <v>17.760645830036001</v>
      </c>
      <c r="K1278" s="17">
        <v>-96.079007017197</v>
      </c>
      <c r="L1278" s="17" t="str">
        <f>HYPERLINK("https://maps.google.com/?q=17.760645830036,-96.079007017197", "🔗 Ver Mapa")</f>
        <v>🔗 Ver Mapa</v>
      </c>
    </row>
    <row r="1279" spans="1:12" ht="43.5" x14ac:dyDescent="0.35">
      <c r="A1279" s="5" t="s">
        <v>614</v>
      </c>
      <c r="B1279" s="5" t="s">
        <v>615</v>
      </c>
      <c r="C1279" s="5" t="s">
        <v>657</v>
      </c>
      <c r="D1279" s="8" t="s">
        <v>61</v>
      </c>
      <c r="E1279" s="16" t="s">
        <v>287</v>
      </c>
      <c r="F1279" s="16" t="s">
        <v>288</v>
      </c>
      <c r="G1279" s="8" t="s">
        <v>658</v>
      </c>
      <c r="H1279" s="8" t="s">
        <v>659</v>
      </c>
      <c r="I1279" s="16" t="s">
        <v>138</v>
      </c>
      <c r="J1279" s="16">
        <v>18.074693479414002</v>
      </c>
      <c r="K1279" s="16">
        <v>-96.130887818280996</v>
      </c>
      <c r="L1279" s="16" t="str">
        <f>HYPERLINK("https://maps.google.com/?q=18.074693479414,-96.130887818281", "🔗 Ver Mapa")</f>
        <v>🔗 Ver Mapa</v>
      </c>
    </row>
    <row r="1280" spans="1:12" ht="43.5" x14ac:dyDescent="0.35">
      <c r="A1280" s="6" t="s">
        <v>614</v>
      </c>
      <c r="B1280" s="6" t="s">
        <v>615</v>
      </c>
      <c r="C1280" s="6" t="s">
        <v>723</v>
      </c>
      <c r="D1280" s="11" t="s">
        <v>61</v>
      </c>
      <c r="E1280" s="17" t="s">
        <v>287</v>
      </c>
      <c r="F1280" s="17" t="s">
        <v>288</v>
      </c>
      <c r="G1280" s="11" t="s">
        <v>724</v>
      </c>
      <c r="H1280" s="11" t="s">
        <v>725</v>
      </c>
      <c r="I1280" s="17" t="s">
        <v>138</v>
      </c>
      <c r="J1280" s="17">
        <v>17.993666999999999</v>
      </c>
      <c r="K1280" s="17">
        <v>-96.485718000000006</v>
      </c>
      <c r="L1280" s="17" t="str">
        <f>HYPERLINK("https://maps.google.com/?q=17.993667,-96.485718", "🔗 Ver Mapa")</f>
        <v>🔗 Ver Mapa</v>
      </c>
    </row>
    <row r="1281" spans="1:12" ht="29" x14ac:dyDescent="0.35">
      <c r="A1281" s="5" t="s">
        <v>614</v>
      </c>
      <c r="B1281" s="5" t="s">
        <v>615</v>
      </c>
      <c r="C1281" s="5" t="s">
        <v>714</v>
      </c>
      <c r="D1281" s="8" t="s">
        <v>61</v>
      </c>
      <c r="E1281" s="16" t="s">
        <v>287</v>
      </c>
      <c r="F1281" s="16" t="s">
        <v>288</v>
      </c>
      <c r="G1281" s="8" t="s">
        <v>715</v>
      </c>
      <c r="H1281" s="8" t="s">
        <v>924</v>
      </c>
      <c r="I1281" s="16" t="s">
        <v>138</v>
      </c>
      <c r="J1281" s="16">
        <v>17.806554991631</v>
      </c>
      <c r="K1281" s="16">
        <v>-96.217209538692003</v>
      </c>
      <c r="L1281" s="16" t="str">
        <f>HYPERLINK("https://maps.google.com/?q=17.806554991631,-96.217209538692", "🔗 Ver Mapa")</f>
        <v>🔗 Ver Mapa</v>
      </c>
    </row>
    <row r="1282" spans="1:12" ht="43.5" x14ac:dyDescent="0.35">
      <c r="A1282" s="6" t="s">
        <v>614</v>
      </c>
      <c r="B1282" s="6" t="s">
        <v>615</v>
      </c>
      <c r="C1282" s="6" t="s">
        <v>925</v>
      </c>
      <c r="D1282" s="11" t="s">
        <v>61</v>
      </c>
      <c r="E1282" s="17" t="s">
        <v>78</v>
      </c>
      <c r="F1282" s="17" t="s">
        <v>90</v>
      </c>
      <c r="G1282" s="11" t="s">
        <v>926</v>
      </c>
      <c r="H1282" s="11" t="s">
        <v>927</v>
      </c>
      <c r="I1282" s="17" t="s">
        <v>138</v>
      </c>
      <c r="J1282" s="17">
        <v>17.342017550407</v>
      </c>
      <c r="K1282" s="17">
        <v>-95.322564373015993</v>
      </c>
      <c r="L1282" s="17" t="str">
        <f>HYPERLINK("https://maps.google.com/?q=17.342017550407,-95.322564373016", "🔗 Ver Mapa")</f>
        <v>🔗 Ver Mapa</v>
      </c>
    </row>
    <row r="1283" spans="1:12" ht="43.5" x14ac:dyDescent="0.35">
      <c r="A1283" s="5" t="s">
        <v>614</v>
      </c>
      <c r="B1283" s="5" t="s">
        <v>615</v>
      </c>
      <c r="C1283" s="5" t="s">
        <v>671</v>
      </c>
      <c r="D1283" s="8" t="s">
        <v>61</v>
      </c>
      <c r="E1283" s="16" t="s">
        <v>78</v>
      </c>
      <c r="F1283" s="16" t="s">
        <v>90</v>
      </c>
      <c r="G1283" s="8" t="s">
        <v>672</v>
      </c>
      <c r="H1283" s="8" t="s">
        <v>673</v>
      </c>
      <c r="I1283" s="16" t="s">
        <v>138</v>
      </c>
      <c r="J1283" s="16">
        <v>16.967126538109</v>
      </c>
      <c r="K1283" s="16">
        <v>-95.758904527786001</v>
      </c>
      <c r="L1283" s="16" t="str">
        <f>HYPERLINK("https://maps.google.com/?q=16.967126538109,-95.758904527786", "🔗 Ver Mapa")</f>
        <v>🔗 Ver Mapa</v>
      </c>
    </row>
    <row r="1284" spans="1:12" ht="43.5" x14ac:dyDescent="0.35">
      <c r="A1284" s="6" t="s">
        <v>614</v>
      </c>
      <c r="B1284" s="6" t="s">
        <v>615</v>
      </c>
      <c r="C1284" s="6" t="s">
        <v>928</v>
      </c>
      <c r="D1284" s="11" t="s">
        <v>61</v>
      </c>
      <c r="E1284" s="17" t="s">
        <v>78</v>
      </c>
      <c r="F1284" s="17" t="s">
        <v>182</v>
      </c>
      <c r="G1284" s="11" t="s">
        <v>929</v>
      </c>
      <c r="H1284" s="11" t="s">
        <v>930</v>
      </c>
      <c r="I1284" s="17" t="s">
        <v>138</v>
      </c>
      <c r="J1284" s="17">
        <v>17.550423072164001</v>
      </c>
      <c r="K1284" s="17">
        <v>-96.221903599860994</v>
      </c>
      <c r="L1284" s="17" t="str">
        <f>HYPERLINK("https://maps.google.com/?q=17.550423072164,-96.221903599861", "🔗 Ver Mapa")</f>
        <v>🔗 Ver Mapa</v>
      </c>
    </row>
    <row r="1285" spans="1:12" ht="29" x14ac:dyDescent="0.35">
      <c r="A1285" s="5" t="s">
        <v>614</v>
      </c>
      <c r="B1285" s="5" t="s">
        <v>615</v>
      </c>
      <c r="C1285" s="5" t="s">
        <v>931</v>
      </c>
      <c r="D1285" s="8" t="s">
        <v>61</v>
      </c>
      <c r="E1285" s="16" t="s">
        <v>78</v>
      </c>
      <c r="F1285" s="16" t="s">
        <v>90</v>
      </c>
      <c r="G1285" s="8" t="s">
        <v>109</v>
      </c>
      <c r="H1285" s="8" t="s">
        <v>131</v>
      </c>
      <c r="I1285" s="16" t="s">
        <v>138</v>
      </c>
      <c r="J1285" s="16">
        <v>16.917641137413</v>
      </c>
      <c r="K1285" s="16">
        <v>-96.078788417162002</v>
      </c>
      <c r="L1285" s="16" t="str">
        <f>HYPERLINK("https://maps.google.com/?q=16.917641137413,-96.078788417162", "🔗 Ver Mapa")</f>
        <v>🔗 Ver Mapa</v>
      </c>
    </row>
    <row r="1286" spans="1:12" ht="29" x14ac:dyDescent="0.35">
      <c r="A1286" s="6" t="s">
        <v>614</v>
      </c>
      <c r="B1286" s="6" t="s">
        <v>615</v>
      </c>
      <c r="C1286" s="6" t="s">
        <v>703</v>
      </c>
      <c r="D1286" s="11" t="s">
        <v>61</v>
      </c>
      <c r="E1286" s="17" t="s">
        <v>79</v>
      </c>
      <c r="F1286" s="17" t="s">
        <v>195</v>
      </c>
      <c r="G1286" s="11" t="s">
        <v>236</v>
      </c>
      <c r="H1286" s="11" t="s">
        <v>932</v>
      </c>
      <c r="I1286" s="17" t="s">
        <v>138</v>
      </c>
      <c r="J1286" s="17">
        <v>16.31953388733</v>
      </c>
      <c r="K1286" s="17">
        <v>-96.592888325868998</v>
      </c>
      <c r="L1286" s="17" t="str">
        <f>HYPERLINK("https://maps.google.com/?q=16.31953388733,-96.592888325869", "🔗 Ver Mapa")</f>
        <v>🔗 Ver Mapa</v>
      </c>
    </row>
    <row r="1287" spans="1:12" ht="29" x14ac:dyDescent="0.35">
      <c r="A1287" s="5" t="s">
        <v>614</v>
      </c>
      <c r="B1287" s="5" t="s">
        <v>615</v>
      </c>
      <c r="C1287" s="5" t="s">
        <v>933</v>
      </c>
      <c r="D1287" s="8" t="s">
        <v>61</v>
      </c>
      <c r="E1287" s="16" t="s">
        <v>79</v>
      </c>
      <c r="F1287" s="16" t="s">
        <v>800</v>
      </c>
      <c r="G1287" s="8" t="s">
        <v>934</v>
      </c>
      <c r="H1287" s="8" t="s">
        <v>935</v>
      </c>
      <c r="I1287" s="16" t="s">
        <v>138</v>
      </c>
      <c r="J1287" s="16">
        <v>16.217816480918</v>
      </c>
      <c r="K1287" s="16">
        <v>-96.037288105488003</v>
      </c>
      <c r="L1287" s="16" t="str">
        <f>HYPERLINK("https://maps.google.com/?q=16.217816480918,-96.037288105488", "🔗 Ver Mapa")</f>
        <v>🔗 Ver Mapa</v>
      </c>
    </row>
    <row r="1288" spans="1:12" ht="29" x14ac:dyDescent="0.35">
      <c r="A1288" s="6" t="s">
        <v>614</v>
      </c>
      <c r="B1288" s="6" t="s">
        <v>615</v>
      </c>
      <c r="C1288" s="6" t="s">
        <v>936</v>
      </c>
      <c r="D1288" s="11" t="s">
        <v>61</v>
      </c>
      <c r="E1288" s="17" t="s">
        <v>79</v>
      </c>
      <c r="F1288" s="17" t="s">
        <v>195</v>
      </c>
      <c r="G1288" s="11" t="s">
        <v>937</v>
      </c>
      <c r="H1288" s="11" t="s">
        <v>938</v>
      </c>
      <c r="I1288" s="17" t="s">
        <v>138</v>
      </c>
      <c r="J1288" s="17">
        <v>16.328112978159002</v>
      </c>
      <c r="K1288" s="17">
        <v>-96.410169218307999</v>
      </c>
      <c r="L1288" s="17" t="str">
        <f>HYPERLINK("https://maps.google.com/?q=16.328112978159,-96.410169218308", "🔗 Ver Mapa")</f>
        <v>🔗 Ver Mapa</v>
      </c>
    </row>
    <row r="1289" spans="1:12" ht="43.5" x14ac:dyDescent="0.35">
      <c r="A1289" s="5" t="s">
        <v>614</v>
      </c>
      <c r="B1289" s="5" t="s">
        <v>615</v>
      </c>
      <c r="C1289" s="5" t="s">
        <v>939</v>
      </c>
      <c r="D1289" s="8" t="s">
        <v>61</v>
      </c>
      <c r="E1289" s="16" t="s">
        <v>79</v>
      </c>
      <c r="F1289" s="16" t="s">
        <v>195</v>
      </c>
      <c r="G1289" s="8" t="s">
        <v>940</v>
      </c>
      <c r="H1289" s="8" t="s">
        <v>941</v>
      </c>
      <c r="I1289" s="16" t="s">
        <v>138</v>
      </c>
      <c r="J1289" s="16">
        <v>16.401952609289999</v>
      </c>
      <c r="K1289" s="16">
        <v>-96.390394284725005</v>
      </c>
      <c r="L1289" s="16" t="str">
        <f>HYPERLINK("https://maps.google.com/?q=16.40195260929,-96.390394284725", "🔗 Ver Mapa")</f>
        <v>🔗 Ver Mapa</v>
      </c>
    </row>
    <row r="1290" spans="1:12" ht="29" x14ac:dyDescent="0.35">
      <c r="A1290" s="6" t="s">
        <v>614</v>
      </c>
      <c r="B1290" s="6" t="s">
        <v>615</v>
      </c>
      <c r="C1290" s="6" t="s">
        <v>942</v>
      </c>
      <c r="D1290" s="11" t="s">
        <v>61</v>
      </c>
      <c r="E1290" s="17" t="s">
        <v>79</v>
      </c>
      <c r="F1290" s="17" t="s">
        <v>195</v>
      </c>
      <c r="G1290" s="11" t="s">
        <v>943</v>
      </c>
      <c r="H1290" s="11" t="s">
        <v>944</v>
      </c>
      <c r="I1290" s="17" t="s">
        <v>138</v>
      </c>
      <c r="J1290" s="17">
        <v>16.068270288217001</v>
      </c>
      <c r="K1290" s="17">
        <v>-96.196996911708993</v>
      </c>
      <c r="L1290" s="17" t="str">
        <f>HYPERLINK("https://maps.google.com/?q=16.068270288217,-96.196996911709", "🔗 Ver Mapa")</f>
        <v>🔗 Ver Mapa</v>
      </c>
    </row>
    <row r="1291" spans="1:12" ht="29" x14ac:dyDescent="0.35">
      <c r="A1291" s="5" t="s">
        <v>614</v>
      </c>
      <c r="B1291" s="5" t="s">
        <v>615</v>
      </c>
      <c r="C1291" s="5" t="s">
        <v>945</v>
      </c>
      <c r="D1291" s="8" t="s">
        <v>61</v>
      </c>
      <c r="E1291" s="16" t="s">
        <v>79</v>
      </c>
      <c r="F1291" s="16" t="s">
        <v>91</v>
      </c>
      <c r="G1291" s="8" t="s">
        <v>946</v>
      </c>
      <c r="H1291" s="8" t="s">
        <v>947</v>
      </c>
      <c r="I1291" s="16" t="s">
        <v>138</v>
      </c>
      <c r="J1291" s="16">
        <v>16.524017435830999</v>
      </c>
      <c r="K1291" s="16">
        <v>-97.385081981476006</v>
      </c>
      <c r="L1291" s="16" t="str">
        <f>HYPERLINK("https://maps.google.com/?q=16.524017435831,-97.385081981476", "🔗 Ver Mapa")</f>
        <v>🔗 Ver Mapa</v>
      </c>
    </row>
    <row r="1292" spans="1:12" ht="29" x14ac:dyDescent="0.35">
      <c r="A1292" s="6" t="s">
        <v>614</v>
      </c>
      <c r="B1292" s="6" t="s">
        <v>615</v>
      </c>
      <c r="C1292" s="6" t="s">
        <v>948</v>
      </c>
      <c r="D1292" s="11" t="s">
        <v>61</v>
      </c>
      <c r="E1292" s="17" t="s">
        <v>79</v>
      </c>
      <c r="F1292" s="17" t="s">
        <v>800</v>
      </c>
      <c r="G1292" s="11" t="s">
        <v>949</v>
      </c>
      <c r="H1292" s="11" t="s">
        <v>950</v>
      </c>
      <c r="I1292" s="17" t="s">
        <v>138</v>
      </c>
      <c r="J1292" s="17">
        <v>16.249290783772</v>
      </c>
      <c r="K1292" s="17">
        <v>-96.059534245368994</v>
      </c>
      <c r="L1292" s="17" t="str">
        <f>HYPERLINK("https://maps.google.com/?q=16.249290783772,-96.059534245369", "🔗 Ver Mapa")</f>
        <v>🔗 Ver Mapa</v>
      </c>
    </row>
    <row r="1293" spans="1:12" ht="29" x14ac:dyDescent="0.35">
      <c r="A1293" s="5" t="s">
        <v>614</v>
      </c>
      <c r="B1293" s="5" t="s">
        <v>615</v>
      </c>
      <c r="C1293" s="5" t="s">
        <v>951</v>
      </c>
      <c r="D1293" s="8" t="s">
        <v>61</v>
      </c>
      <c r="E1293" s="16" t="s">
        <v>79</v>
      </c>
      <c r="F1293" s="16" t="s">
        <v>195</v>
      </c>
      <c r="G1293" s="8" t="s">
        <v>952</v>
      </c>
      <c r="H1293" s="8" t="s">
        <v>953</v>
      </c>
      <c r="I1293" s="16" t="s">
        <v>138</v>
      </c>
      <c r="J1293" s="16">
        <v>16.009469338269</v>
      </c>
      <c r="K1293" s="16">
        <v>-96.224969545963006</v>
      </c>
      <c r="L1293" s="16" t="str">
        <f>HYPERLINK("https://maps.google.com/?q=16.009469338269,-96.224969545963", "🔗 Ver Mapa")</f>
        <v>🔗 Ver Mapa</v>
      </c>
    </row>
    <row r="1294" spans="1:12" ht="43.5" x14ac:dyDescent="0.35">
      <c r="A1294" s="6" t="s">
        <v>614</v>
      </c>
      <c r="B1294" s="6" t="s">
        <v>615</v>
      </c>
      <c r="C1294" s="6" t="s">
        <v>750</v>
      </c>
      <c r="D1294" s="11" t="s">
        <v>61</v>
      </c>
      <c r="E1294" s="17" t="s">
        <v>75</v>
      </c>
      <c r="F1294" s="17" t="s">
        <v>156</v>
      </c>
      <c r="G1294" s="11" t="s">
        <v>751</v>
      </c>
      <c r="H1294" s="11" t="s">
        <v>752</v>
      </c>
      <c r="I1294" s="17" t="s">
        <v>138</v>
      </c>
      <c r="J1294" s="17">
        <v>16.493534362996002</v>
      </c>
      <c r="K1294" s="17">
        <v>-96.735126063823998</v>
      </c>
      <c r="L1294" s="17" t="str">
        <f>HYPERLINK("https://maps.google.com/?q=16.493534362996,-96.735126063824", "🔗 Ver Mapa")</f>
        <v>🔗 Ver Mapa</v>
      </c>
    </row>
    <row r="1295" spans="1:12" ht="43.5" x14ac:dyDescent="0.35">
      <c r="A1295" s="5" t="s">
        <v>614</v>
      </c>
      <c r="B1295" s="5" t="s">
        <v>615</v>
      </c>
      <c r="C1295" s="5" t="s">
        <v>740</v>
      </c>
      <c r="D1295" s="8" t="s">
        <v>61</v>
      </c>
      <c r="E1295" s="16" t="s">
        <v>75</v>
      </c>
      <c r="F1295" s="16" t="s">
        <v>86</v>
      </c>
      <c r="G1295" s="8" t="s">
        <v>103</v>
      </c>
      <c r="H1295" s="8" t="s">
        <v>741</v>
      </c>
      <c r="I1295" s="16" t="s">
        <v>138</v>
      </c>
      <c r="J1295" s="16">
        <v>17.123861042192001</v>
      </c>
      <c r="K1295" s="16">
        <v>-96.750849093254004</v>
      </c>
      <c r="L1295" s="16" t="str">
        <f>HYPERLINK("https://maps.google.com/?q=17.123861042192,-96.750849093254", "🔗 Ver Mapa")</f>
        <v>🔗 Ver Mapa</v>
      </c>
    </row>
    <row r="1296" spans="1:12" ht="43.5" x14ac:dyDescent="0.35">
      <c r="A1296" s="6" t="s">
        <v>614</v>
      </c>
      <c r="B1296" s="6" t="s">
        <v>615</v>
      </c>
      <c r="C1296" s="6" t="s">
        <v>954</v>
      </c>
      <c r="D1296" s="11" t="s">
        <v>61</v>
      </c>
      <c r="E1296" s="17" t="s">
        <v>75</v>
      </c>
      <c r="F1296" s="17" t="s">
        <v>86</v>
      </c>
      <c r="G1296" s="11" t="s">
        <v>955</v>
      </c>
      <c r="H1296" s="11" t="s">
        <v>956</v>
      </c>
      <c r="I1296" s="17" t="s">
        <v>138</v>
      </c>
      <c r="J1296" s="17">
        <v>17.071696683365001</v>
      </c>
      <c r="K1296" s="17">
        <v>-96.830492576720999</v>
      </c>
      <c r="L1296" s="17" t="str">
        <f>HYPERLINK("https://maps.google.com/?q=17.071696683365,-96.830492576721", "🔗 Ver Mapa")</f>
        <v>🔗 Ver Mapa</v>
      </c>
    </row>
    <row r="1297" spans="1:12" ht="43.5" x14ac:dyDescent="0.35">
      <c r="A1297" s="5" t="s">
        <v>614</v>
      </c>
      <c r="B1297" s="5" t="s">
        <v>615</v>
      </c>
      <c r="C1297" s="5" t="s">
        <v>957</v>
      </c>
      <c r="D1297" s="8" t="s">
        <v>61</v>
      </c>
      <c r="E1297" s="16" t="s">
        <v>75</v>
      </c>
      <c r="F1297" s="16" t="s">
        <v>87</v>
      </c>
      <c r="G1297" s="8" t="s">
        <v>958</v>
      </c>
      <c r="H1297" s="8" t="s">
        <v>959</v>
      </c>
      <c r="I1297" s="16" t="s">
        <v>138</v>
      </c>
      <c r="J1297" s="16">
        <v>17.067289745027001</v>
      </c>
      <c r="K1297" s="16">
        <v>-96.877470495701004</v>
      </c>
      <c r="L1297" s="16" t="str">
        <f>HYPERLINK("https://maps.google.com/?q=17.067289745027,-96.877470495701", "🔗 Ver Mapa")</f>
        <v>🔗 Ver Mapa</v>
      </c>
    </row>
    <row r="1298" spans="1:12" ht="29" x14ac:dyDescent="0.35">
      <c r="A1298" s="6" t="s">
        <v>614</v>
      </c>
      <c r="B1298" s="6" t="s">
        <v>615</v>
      </c>
      <c r="C1298" s="6" t="s">
        <v>765</v>
      </c>
      <c r="D1298" s="11" t="s">
        <v>61</v>
      </c>
      <c r="E1298" s="17" t="s">
        <v>75</v>
      </c>
      <c r="F1298" s="17" t="s">
        <v>149</v>
      </c>
      <c r="G1298" s="11" t="s">
        <v>766</v>
      </c>
      <c r="H1298" s="11" t="s">
        <v>960</v>
      </c>
      <c r="I1298" s="17" t="s">
        <v>138</v>
      </c>
      <c r="J1298" s="17">
        <v>16.702968109069001</v>
      </c>
      <c r="K1298" s="17">
        <v>-96.678440288361003</v>
      </c>
      <c r="L1298" s="17" t="str">
        <f>HYPERLINK("https://maps.google.com/?q=16.702968109069,-96.678440288361", "🔗 Ver Mapa")</f>
        <v>🔗 Ver Mapa</v>
      </c>
    </row>
    <row r="1299" spans="1:12" ht="29" x14ac:dyDescent="0.35">
      <c r="A1299" s="5" t="s">
        <v>614</v>
      </c>
      <c r="B1299" s="5" t="s">
        <v>615</v>
      </c>
      <c r="C1299" s="5" t="s">
        <v>815</v>
      </c>
      <c r="D1299" s="8" t="s">
        <v>61</v>
      </c>
      <c r="E1299" s="16" t="s">
        <v>75</v>
      </c>
      <c r="F1299" s="16" t="s">
        <v>87</v>
      </c>
      <c r="G1299" s="8" t="s">
        <v>816</v>
      </c>
      <c r="H1299" s="8" t="s">
        <v>817</v>
      </c>
      <c r="I1299" s="16" t="s">
        <v>138</v>
      </c>
      <c r="J1299" s="16">
        <v>17.226478666150999</v>
      </c>
      <c r="K1299" s="16">
        <v>-96.778298131282995</v>
      </c>
      <c r="L1299" s="16" t="str">
        <f>HYPERLINK("https://maps.google.com/?q=17.226478666151,-96.778298131283", "🔗 Ver Mapa")</f>
        <v>🔗 Ver Mapa</v>
      </c>
    </row>
    <row r="1300" spans="1:12" ht="29" x14ac:dyDescent="0.35">
      <c r="A1300" s="6" t="s">
        <v>614</v>
      </c>
      <c r="B1300" s="6" t="s">
        <v>615</v>
      </c>
      <c r="C1300" s="6" t="s">
        <v>774</v>
      </c>
      <c r="D1300" s="11" t="s">
        <v>61</v>
      </c>
      <c r="E1300" s="17" t="s">
        <v>75</v>
      </c>
      <c r="F1300" s="17" t="s">
        <v>84</v>
      </c>
      <c r="G1300" s="11" t="s">
        <v>775</v>
      </c>
      <c r="H1300" s="11" t="s">
        <v>961</v>
      </c>
      <c r="I1300" s="17" t="s">
        <v>138</v>
      </c>
      <c r="J1300" s="17">
        <v>16.925434113725998</v>
      </c>
      <c r="K1300" s="17">
        <v>-96.357292128801006</v>
      </c>
      <c r="L1300" s="17" t="str">
        <f>HYPERLINK("https://maps.google.com/?q=16.925434113726,-96.357292128801", "🔗 Ver Mapa")</f>
        <v>🔗 Ver Mapa</v>
      </c>
    </row>
    <row r="1301" spans="1:12" ht="43.5" x14ac:dyDescent="0.35">
      <c r="A1301" s="5" t="s">
        <v>614</v>
      </c>
      <c r="B1301" s="5" t="s">
        <v>615</v>
      </c>
      <c r="C1301" s="5" t="s">
        <v>962</v>
      </c>
      <c r="D1301" s="8" t="s">
        <v>61</v>
      </c>
      <c r="E1301" s="16" t="s">
        <v>75</v>
      </c>
      <c r="F1301" s="16" t="s">
        <v>86</v>
      </c>
      <c r="G1301" s="8" t="s">
        <v>963</v>
      </c>
      <c r="H1301" s="8" t="s">
        <v>964</v>
      </c>
      <c r="I1301" s="16" t="s">
        <v>138</v>
      </c>
      <c r="J1301" s="16">
        <v>17.066217410231001</v>
      </c>
      <c r="K1301" s="16">
        <v>-96.811761827053004</v>
      </c>
      <c r="L1301" s="16" t="str">
        <f>HYPERLINK("https://maps.google.com/?q=17.066217410231,-96.811761827053", "🔗 Ver Mapa")</f>
        <v>🔗 Ver Mapa</v>
      </c>
    </row>
    <row r="1302" spans="1:12" ht="43.5" x14ac:dyDescent="0.35">
      <c r="A1302" s="6" t="s">
        <v>614</v>
      </c>
      <c r="B1302" s="6" t="s">
        <v>615</v>
      </c>
      <c r="C1302" s="6" t="s">
        <v>965</v>
      </c>
      <c r="D1302" s="11" t="s">
        <v>61</v>
      </c>
      <c r="E1302" s="17" t="s">
        <v>75</v>
      </c>
      <c r="F1302" s="17" t="s">
        <v>84</v>
      </c>
      <c r="G1302" s="11" t="s">
        <v>966</v>
      </c>
      <c r="H1302" s="11" t="s">
        <v>967</v>
      </c>
      <c r="I1302" s="17" t="s">
        <v>138</v>
      </c>
      <c r="J1302" s="17">
        <v>16.665842999999999</v>
      </c>
      <c r="K1302" s="17">
        <v>-96.302515</v>
      </c>
      <c r="L1302" s="17" t="str">
        <f>HYPERLINK("https://maps.google.com/?q=16.665843,-96.302515", "🔗 Ver Mapa")</f>
        <v>🔗 Ver Mapa</v>
      </c>
    </row>
    <row r="1303" spans="1:12" ht="43.5" x14ac:dyDescent="0.35">
      <c r="A1303" s="5" t="s">
        <v>614</v>
      </c>
      <c r="B1303" s="5" t="s">
        <v>615</v>
      </c>
      <c r="C1303" s="5" t="s">
        <v>968</v>
      </c>
      <c r="D1303" s="8" t="s">
        <v>61</v>
      </c>
      <c r="E1303" s="16" t="s">
        <v>75</v>
      </c>
      <c r="F1303" s="16" t="s">
        <v>476</v>
      </c>
      <c r="G1303" s="8" t="s">
        <v>969</v>
      </c>
      <c r="H1303" s="8" t="s">
        <v>970</v>
      </c>
      <c r="I1303" s="16" t="s">
        <v>138</v>
      </c>
      <c r="J1303" s="16">
        <v>16.787604386398002</v>
      </c>
      <c r="K1303" s="16">
        <v>-96.874773744704996</v>
      </c>
      <c r="L1303" s="16" t="str">
        <f>HYPERLINK("https://maps.google.com/?q=16.787604386398,-96.874773744705", "🔗 Ver Mapa")</f>
        <v>🔗 Ver Mapa</v>
      </c>
    </row>
    <row r="1304" spans="1:12" ht="29" x14ac:dyDescent="0.35">
      <c r="A1304" s="6" t="s">
        <v>614</v>
      </c>
      <c r="B1304" s="6" t="s">
        <v>615</v>
      </c>
      <c r="C1304" s="6" t="s">
        <v>746</v>
      </c>
      <c r="D1304" s="11" t="s">
        <v>61</v>
      </c>
      <c r="E1304" s="17" t="s">
        <v>75</v>
      </c>
      <c r="F1304" s="17" t="s">
        <v>86</v>
      </c>
      <c r="G1304" s="11" t="s">
        <v>557</v>
      </c>
      <c r="H1304" s="11" t="s">
        <v>558</v>
      </c>
      <c r="I1304" s="17" t="s">
        <v>138</v>
      </c>
      <c r="J1304" s="17">
        <v>17.066752000000001</v>
      </c>
      <c r="K1304" s="17">
        <v>-96.701014000000001</v>
      </c>
      <c r="L1304" s="17" t="str">
        <f>HYPERLINK("https://maps.google.com/?q=17.066752,-96.701014", "🔗 Ver Mapa")</f>
        <v>🔗 Ver Mapa</v>
      </c>
    </row>
    <row r="1305" spans="1:12" ht="43.5" x14ac:dyDescent="0.35">
      <c r="A1305" s="5" t="s">
        <v>614</v>
      </c>
      <c r="B1305" s="5" t="s">
        <v>615</v>
      </c>
      <c r="C1305" s="5" t="s">
        <v>971</v>
      </c>
      <c r="D1305" s="8" t="s">
        <v>61</v>
      </c>
      <c r="E1305" s="16" t="s">
        <v>75</v>
      </c>
      <c r="F1305" s="16" t="s">
        <v>87</v>
      </c>
      <c r="G1305" s="8" t="s">
        <v>105</v>
      </c>
      <c r="H1305" s="8" t="s">
        <v>972</v>
      </c>
      <c r="I1305" s="16" t="s">
        <v>138</v>
      </c>
      <c r="J1305" s="16">
        <v>17.235389844101999</v>
      </c>
      <c r="K1305" s="16">
        <v>-96.869102682209004</v>
      </c>
      <c r="L1305" s="16" t="str">
        <f>HYPERLINK("https://maps.google.com/?q=17.235389844102,-96.869102682209", "🔗 Ver Mapa")</f>
        <v>🔗 Ver Mapa</v>
      </c>
    </row>
    <row r="1306" spans="1:12" ht="29" x14ac:dyDescent="0.35">
      <c r="A1306" s="6" t="s">
        <v>614</v>
      </c>
      <c r="B1306" s="6" t="s">
        <v>615</v>
      </c>
      <c r="C1306" s="6" t="s">
        <v>973</v>
      </c>
      <c r="D1306" s="11" t="s">
        <v>61</v>
      </c>
      <c r="E1306" s="17" t="s">
        <v>75</v>
      </c>
      <c r="F1306" s="17" t="s">
        <v>149</v>
      </c>
      <c r="G1306" s="11" t="s">
        <v>974</v>
      </c>
      <c r="H1306" s="11" t="s">
        <v>975</v>
      </c>
      <c r="I1306" s="17" t="s">
        <v>138</v>
      </c>
      <c r="J1306" s="17">
        <v>16.884117426654001</v>
      </c>
      <c r="K1306" s="17">
        <v>-96.614303792659996</v>
      </c>
      <c r="L1306" s="17" t="str">
        <f>HYPERLINK("https://maps.google.com/?q=16.884117426654,-96.61430379266", "🔗 Ver Mapa")</f>
        <v>🔗 Ver Mapa</v>
      </c>
    </row>
    <row r="1307" spans="1:12" ht="29" x14ac:dyDescent="0.35">
      <c r="A1307" s="5" t="s">
        <v>614</v>
      </c>
      <c r="B1307" s="5" t="s">
        <v>615</v>
      </c>
      <c r="C1307" s="5" t="s">
        <v>822</v>
      </c>
      <c r="D1307" s="8" t="s">
        <v>61</v>
      </c>
      <c r="E1307" s="16" t="s">
        <v>75</v>
      </c>
      <c r="F1307" s="16" t="s">
        <v>87</v>
      </c>
      <c r="G1307" s="8" t="s">
        <v>823</v>
      </c>
      <c r="H1307" s="8" t="s">
        <v>976</v>
      </c>
      <c r="I1307" s="16" t="s">
        <v>138</v>
      </c>
      <c r="J1307" s="16">
        <v>17.200330541197001</v>
      </c>
      <c r="K1307" s="16">
        <v>-96.790059958336002</v>
      </c>
      <c r="L1307" s="16" t="str">
        <f>HYPERLINK("https://maps.google.com/?q=17.200330541197,-96.790059958336", "🔗 Ver Mapa")</f>
        <v>🔗 Ver Mapa</v>
      </c>
    </row>
    <row r="1308" spans="1:12" ht="29" x14ac:dyDescent="0.35">
      <c r="A1308" s="6" t="s">
        <v>614</v>
      </c>
      <c r="B1308" s="6" t="s">
        <v>615</v>
      </c>
      <c r="C1308" s="6" t="s">
        <v>785</v>
      </c>
      <c r="D1308" s="11" t="s">
        <v>61</v>
      </c>
      <c r="E1308" s="17" t="s">
        <v>75</v>
      </c>
      <c r="F1308" s="17" t="s">
        <v>267</v>
      </c>
      <c r="G1308" s="11" t="s">
        <v>268</v>
      </c>
      <c r="H1308" s="11" t="s">
        <v>977</v>
      </c>
      <c r="I1308" s="17" t="s">
        <v>138</v>
      </c>
      <c r="J1308" s="17">
        <v>16.933221904940002</v>
      </c>
      <c r="K1308" s="17">
        <v>-96.701159671129005</v>
      </c>
      <c r="L1308" s="17" t="str">
        <f>HYPERLINK("https://maps.google.com/?q=16.93322190494,-96.701159671129", "🔗 Ver Mapa")</f>
        <v>🔗 Ver Mapa</v>
      </c>
    </row>
    <row r="1309" spans="1:12" ht="43.5" x14ac:dyDescent="0.35">
      <c r="A1309" s="5" t="s">
        <v>614</v>
      </c>
      <c r="B1309" s="5" t="s">
        <v>615</v>
      </c>
      <c r="C1309" s="5" t="s">
        <v>978</v>
      </c>
      <c r="D1309" s="8" t="s">
        <v>61</v>
      </c>
      <c r="E1309" s="16" t="s">
        <v>75</v>
      </c>
      <c r="F1309" s="16" t="s">
        <v>87</v>
      </c>
      <c r="G1309" s="8" t="s">
        <v>979</v>
      </c>
      <c r="H1309" s="8" t="s">
        <v>980</v>
      </c>
      <c r="I1309" s="16" t="s">
        <v>138</v>
      </c>
      <c r="J1309" s="16">
        <v>17.107726729402</v>
      </c>
      <c r="K1309" s="16">
        <v>-96.967692560678003</v>
      </c>
      <c r="L1309" s="16" t="str">
        <f>HYPERLINK("https://maps.google.com/?q=17.107726729402,-96.967692560678", "🔗 Ver Mapa")</f>
        <v>🔗 Ver Mapa</v>
      </c>
    </row>
    <row r="1310" spans="1:12" ht="43.5" x14ac:dyDescent="0.35">
      <c r="A1310" s="6" t="s">
        <v>614</v>
      </c>
      <c r="B1310" s="6" t="s">
        <v>615</v>
      </c>
      <c r="C1310" s="6" t="s">
        <v>981</v>
      </c>
      <c r="D1310" s="11" t="s">
        <v>61</v>
      </c>
      <c r="E1310" s="17" t="s">
        <v>164</v>
      </c>
      <c r="F1310" s="17" t="s">
        <v>165</v>
      </c>
      <c r="G1310" s="11" t="s">
        <v>982</v>
      </c>
      <c r="H1310" s="11" t="s">
        <v>983</v>
      </c>
      <c r="I1310" s="17" t="s">
        <v>138</v>
      </c>
      <c r="J1310" s="17">
        <v>17.859379089834</v>
      </c>
      <c r="K1310" s="17">
        <v>-96.579636002308007</v>
      </c>
      <c r="L1310" s="17" t="str">
        <f>HYPERLINK("https://maps.google.com/?q=17.859379089834,-96.579636002308", "🔗 Ver Mapa")</f>
        <v>🔗 Ver Mapa</v>
      </c>
    </row>
    <row r="1311" spans="1:12" ht="29" x14ac:dyDescent="0.35">
      <c r="A1311" s="5" t="s">
        <v>614</v>
      </c>
      <c r="B1311" s="5" t="s">
        <v>615</v>
      </c>
      <c r="C1311" s="5" t="s">
        <v>984</v>
      </c>
      <c r="D1311" s="8" t="s">
        <v>61</v>
      </c>
      <c r="E1311" s="16" t="s">
        <v>164</v>
      </c>
      <c r="F1311" s="16" t="s">
        <v>394</v>
      </c>
      <c r="G1311" s="8" t="s">
        <v>985</v>
      </c>
      <c r="H1311" s="8" t="s">
        <v>986</v>
      </c>
      <c r="I1311" s="16" t="s">
        <v>138</v>
      </c>
      <c r="J1311" s="16">
        <v>18.130634865396999</v>
      </c>
      <c r="K1311" s="16">
        <v>-96.856907057707005</v>
      </c>
      <c r="L1311" s="16" t="str">
        <f>HYPERLINK("https://maps.google.com/?q=18.130634865397,-96.856907057707", "🔗 Ver Mapa")</f>
        <v>🔗 Ver Mapa</v>
      </c>
    </row>
    <row r="1312" spans="1:12" ht="29" x14ac:dyDescent="0.35">
      <c r="A1312" s="6" t="s">
        <v>614</v>
      </c>
      <c r="B1312" s="6" t="s">
        <v>615</v>
      </c>
      <c r="C1312" s="6" t="s">
        <v>987</v>
      </c>
      <c r="D1312" s="11" t="s">
        <v>61</v>
      </c>
      <c r="E1312" s="17" t="s">
        <v>164</v>
      </c>
      <c r="F1312" s="17" t="s">
        <v>394</v>
      </c>
      <c r="G1312" s="11" t="s">
        <v>988</v>
      </c>
      <c r="H1312" s="11" t="s">
        <v>989</v>
      </c>
      <c r="I1312" s="17" t="s">
        <v>138</v>
      </c>
      <c r="J1312" s="17">
        <v>18.144179567837998</v>
      </c>
      <c r="K1312" s="17">
        <v>-96.952511678573998</v>
      </c>
      <c r="L1312" s="17" t="str">
        <f>HYPERLINK("https://maps.google.com/?q=18.144179567838,-96.952511678574", "🔗 Ver Mapa")</f>
        <v>🔗 Ver Mapa</v>
      </c>
    </row>
    <row r="1313" spans="1:12" ht="29" x14ac:dyDescent="0.35">
      <c r="A1313" s="5" t="s">
        <v>614</v>
      </c>
      <c r="B1313" s="5" t="s">
        <v>615</v>
      </c>
      <c r="C1313" s="5" t="s">
        <v>705</v>
      </c>
      <c r="D1313" s="8" t="s">
        <v>61</v>
      </c>
      <c r="E1313" s="16" t="s">
        <v>164</v>
      </c>
      <c r="F1313" s="16" t="s">
        <v>394</v>
      </c>
      <c r="G1313" s="8" t="s">
        <v>706</v>
      </c>
      <c r="H1313" s="8" t="s">
        <v>990</v>
      </c>
      <c r="I1313" s="16" t="s">
        <v>138</v>
      </c>
      <c r="J1313" s="16">
        <v>18.186104872954999</v>
      </c>
      <c r="K1313" s="16">
        <v>-96.626005052744006</v>
      </c>
      <c r="L1313" s="16" t="str">
        <f>HYPERLINK("https://maps.google.com/?q=18.186104872955,-96.626005052744", "🔗 Ver Mapa")</f>
        <v>🔗 Ver Mapa</v>
      </c>
    </row>
    <row r="1314" spans="1:12" ht="43.5" x14ac:dyDescent="0.35">
      <c r="A1314" s="6" t="s">
        <v>614</v>
      </c>
      <c r="B1314" s="6" t="s">
        <v>615</v>
      </c>
      <c r="C1314" s="6" t="s">
        <v>991</v>
      </c>
      <c r="D1314" s="11" t="s">
        <v>61</v>
      </c>
      <c r="E1314" s="17" t="s">
        <v>164</v>
      </c>
      <c r="F1314" s="17" t="s">
        <v>394</v>
      </c>
      <c r="G1314" s="11" t="s">
        <v>992</v>
      </c>
      <c r="H1314" s="11" t="s">
        <v>993</v>
      </c>
      <c r="I1314" s="17" t="s">
        <v>138</v>
      </c>
      <c r="J1314" s="17">
        <v>18.105934975851</v>
      </c>
      <c r="K1314" s="17">
        <v>-96.952201492065001</v>
      </c>
      <c r="L1314" s="17" t="str">
        <f>HYPERLINK("https://maps.google.com/?q=18.105934975851,-96.952201492065", "🔗 Ver Mapa")</f>
        <v>🔗 Ver Mapa</v>
      </c>
    </row>
    <row r="1315" spans="1:12" ht="43.5" x14ac:dyDescent="0.35">
      <c r="A1315" s="5" t="s">
        <v>614</v>
      </c>
      <c r="B1315" s="5" t="s">
        <v>615</v>
      </c>
      <c r="C1315" s="5" t="s">
        <v>691</v>
      </c>
      <c r="D1315" s="8" t="s">
        <v>61</v>
      </c>
      <c r="E1315" s="16" t="s">
        <v>164</v>
      </c>
      <c r="F1315" s="16" t="s">
        <v>394</v>
      </c>
      <c r="G1315" s="8" t="s">
        <v>692</v>
      </c>
      <c r="H1315" s="8" t="s">
        <v>994</v>
      </c>
      <c r="I1315" s="16" t="s">
        <v>138</v>
      </c>
      <c r="J1315" s="16">
        <v>18.232800883026002</v>
      </c>
      <c r="K1315" s="16">
        <v>-96.831716012233997</v>
      </c>
      <c r="L1315" s="16" t="str">
        <f>HYPERLINK("https://maps.google.com/?q=18.232800883026,-96.831716012234", "🔗 Ver Mapa")</f>
        <v>🔗 Ver Mapa</v>
      </c>
    </row>
    <row r="1316" spans="1:12" ht="29" x14ac:dyDescent="0.35">
      <c r="A1316" s="6" t="s">
        <v>614</v>
      </c>
      <c r="B1316" s="6" t="s">
        <v>615</v>
      </c>
      <c r="C1316" s="6" t="s">
        <v>995</v>
      </c>
      <c r="D1316" s="11" t="s">
        <v>61</v>
      </c>
      <c r="E1316" s="17" t="s">
        <v>164</v>
      </c>
      <c r="F1316" s="17" t="s">
        <v>394</v>
      </c>
      <c r="G1316" s="11" t="s">
        <v>996</v>
      </c>
      <c r="H1316" s="11" t="s">
        <v>997</v>
      </c>
      <c r="I1316" s="17" t="s">
        <v>138</v>
      </c>
      <c r="J1316" s="17">
        <v>18.208315886196001</v>
      </c>
      <c r="K1316" s="17">
        <v>-96.968961419642994</v>
      </c>
      <c r="L1316" s="17" t="str">
        <f>HYPERLINK("https://maps.google.com/?q=18.208315886196,-96.968961419643", "🔗 Ver Mapa")</f>
        <v>🔗 Ver Mapa</v>
      </c>
    </row>
    <row r="1317" spans="1:12" ht="29" x14ac:dyDescent="0.35">
      <c r="A1317" s="5" t="s">
        <v>614</v>
      </c>
      <c r="B1317" s="5" t="s">
        <v>615</v>
      </c>
      <c r="C1317" s="5" t="s">
        <v>998</v>
      </c>
      <c r="D1317" s="8" t="s">
        <v>61</v>
      </c>
      <c r="E1317" s="16" t="s">
        <v>74</v>
      </c>
      <c r="F1317" s="16" t="s">
        <v>82</v>
      </c>
      <c r="G1317" s="8" t="s">
        <v>999</v>
      </c>
      <c r="H1317" s="8" t="s">
        <v>1000</v>
      </c>
      <c r="I1317" s="16" t="s">
        <v>138</v>
      </c>
      <c r="J1317" s="16">
        <v>16.484954163489999</v>
      </c>
      <c r="K1317" s="16">
        <v>-97.983381112759005</v>
      </c>
      <c r="L1317" s="16" t="str">
        <f>HYPERLINK("https://maps.google.com/?q=16.48495416349,-97.983381112759", "🔗 Ver Mapa")</f>
        <v>🔗 Ver Mapa</v>
      </c>
    </row>
    <row r="1318" spans="1:12" ht="43.5" x14ac:dyDescent="0.35">
      <c r="A1318" s="6" t="s">
        <v>614</v>
      </c>
      <c r="B1318" s="6" t="s">
        <v>615</v>
      </c>
      <c r="C1318" s="6" t="s">
        <v>857</v>
      </c>
      <c r="D1318" s="11" t="s">
        <v>61</v>
      </c>
      <c r="E1318" s="17" t="s">
        <v>74</v>
      </c>
      <c r="F1318" s="17" t="s">
        <v>82</v>
      </c>
      <c r="G1318" s="11" t="s">
        <v>230</v>
      </c>
      <c r="H1318" s="11" t="s">
        <v>858</v>
      </c>
      <c r="I1318" s="17" t="s">
        <v>138</v>
      </c>
      <c r="J1318" s="17">
        <v>16.283569864646999</v>
      </c>
      <c r="K1318" s="17">
        <v>-97.823880953373006</v>
      </c>
      <c r="L1318" s="17" t="str">
        <f>HYPERLINK("https://maps.google.com/?q=16.283569864647,-97.823880953373", "🔗 Ver Mapa")</f>
        <v>🔗 Ver Mapa</v>
      </c>
    </row>
    <row r="1319" spans="1:12" ht="29" x14ac:dyDescent="0.35">
      <c r="A1319" s="5" t="s">
        <v>614</v>
      </c>
      <c r="B1319" s="5" t="s">
        <v>615</v>
      </c>
      <c r="C1319" s="5" t="s">
        <v>1001</v>
      </c>
      <c r="D1319" s="8" t="s">
        <v>61</v>
      </c>
      <c r="E1319" s="16" t="s">
        <v>74</v>
      </c>
      <c r="F1319" s="16" t="s">
        <v>82</v>
      </c>
      <c r="G1319" s="8" t="s">
        <v>579</v>
      </c>
      <c r="H1319" s="8" t="s">
        <v>1002</v>
      </c>
      <c r="I1319" s="16" t="s">
        <v>138</v>
      </c>
      <c r="J1319" s="16">
        <v>16.287375186630999</v>
      </c>
      <c r="K1319" s="16">
        <v>-98.024663208668002</v>
      </c>
      <c r="L1319" s="16" t="str">
        <f>HYPERLINK("https://maps.google.com/?q=16.287375186631,-98.024663208668", "🔗 Ver Mapa")</f>
        <v>🔗 Ver Mapa</v>
      </c>
    </row>
    <row r="1320" spans="1:12" ht="29" x14ac:dyDescent="0.35">
      <c r="A1320" s="6" t="s">
        <v>614</v>
      </c>
      <c r="B1320" s="6" t="s">
        <v>615</v>
      </c>
      <c r="C1320" s="6" t="s">
        <v>674</v>
      </c>
      <c r="D1320" s="11" t="s">
        <v>61</v>
      </c>
      <c r="E1320" s="17" t="s">
        <v>74</v>
      </c>
      <c r="F1320" s="17" t="s">
        <v>453</v>
      </c>
      <c r="G1320" s="11" t="s">
        <v>675</v>
      </c>
      <c r="H1320" s="11" t="s">
        <v>1003</v>
      </c>
      <c r="I1320" s="17" t="s">
        <v>138</v>
      </c>
      <c r="J1320" s="17">
        <v>15.862501999999999</v>
      </c>
      <c r="K1320" s="17">
        <v>-97.071296000000004</v>
      </c>
      <c r="L1320" s="17" t="str">
        <f>HYPERLINK("https://maps.google.com/?q=15.862502,-97.071296", "🔗 Ver Mapa")</f>
        <v>🔗 Ver Mapa</v>
      </c>
    </row>
    <row r="1321" spans="1:12" ht="43.5" x14ac:dyDescent="0.35">
      <c r="A1321" s="5" t="s">
        <v>614</v>
      </c>
      <c r="B1321" s="5" t="s">
        <v>615</v>
      </c>
      <c r="C1321" s="5" t="s">
        <v>1004</v>
      </c>
      <c r="D1321" s="8" t="s">
        <v>61</v>
      </c>
      <c r="E1321" s="16" t="s">
        <v>74</v>
      </c>
      <c r="F1321" s="16" t="s">
        <v>453</v>
      </c>
      <c r="G1321" s="8" t="s">
        <v>521</v>
      </c>
      <c r="H1321" s="8" t="s">
        <v>1005</v>
      </c>
      <c r="I1321" s="16" t="s">
        <v>138</v>
      </c>
      <c r="J1321" s="16">
        <v>16.235423410721999</v>
      </c>
      <c r="K1321" s="16">
        <v>-97.296376357493997</v>
      </c>
      <c r="L1321" s="16" t="str">
        <f>HYPERLINK("https://maps.google.com/?q=16.235423410722,-97.296376357494", "🔗 Ver Mapa")</f>
        <v>🔗 Ver Mapa</v>
      </c>
    </row>
    <row r="1322" spans="1:12" ht="43.5" x14ac:dyDescent="0.35">
      <c r="A1322" s="6" t="s">
        <v>614</v>
      </c>
      <c r="B1322" s="6" t="s">
        <v>615</v>
      </c>
      <c r="C1322" s="6" t="s">
        <v>1006</v>
      </c>
      <c r="D1322" s="11" t="s">
        <v>61</v>
      </c>
      <c r="E1322" s="17" t="s">
        <v>74</v>
      </c>
      <c r="F1322" s="17" t="s">
        <v>453</v>
      </c>
      <c r="G1322" s="11" t="s">
        <v>1007</v>
      </c>
      <c r="H1322" s="11" t="s">
        <v>1008</v>
      </c>
      <c r="I1322" s="17" t="s">
        <v>138</v>
      </c>
      <c r="J1322" s="17">
        <v>16.294252001158</v>
      </c>
      <c r="K1322" s="17">
        <v>-97.491363910380997</v>
      </c>
      <c r="L1322" s="17" t="str">
        <f>HYPERLINK("https://maps.google.com/?q=16.294252001158,-97.491363910381", "🔗 Ver Mapa")</f>
        <v>🔗 Ver Mapa</v>
      </c>
    </row>
    <row r="1323" spans="1:12" ht="43.5" x14ac:dyDescent="0.35">
      <c r="A1323" s="5" t="s">
        <v>614</v>
      </c>
      <c r="B1323" s="5" t="s">
        <v>615</v>
      </c>
      <c r="C1323" s="5" t="s">
        <v>1009</v>
      </c>
      <c r="D1323" s="8" t="s">
        <v>61</v>
      </c>
      <c r="E1323" s="16" t="s">
        <v>74</v>
      </c>
      <c r="F1323" s="16" t="s">
        <v>89</v>
      </c>
      <c r="G1323" s="8" t="s">
        <v>473</v>
      </c>
      <c r="H1323" s="8" t="s">
        <v>1010</v>
      </c>
      <c r="I1323" s="16" t="s">
        <v>138</v>
      </c>
      <c r="J1323" s="16">
        <v>15.946754673066</v>
      </c>
      <c r="K1323" s="16">
        <v>-96.552182933867996</v>
      </c>
      <c r="L1323" s="16" t="str">
        <f>HYPERLINK("https://maps.google.com/?q=15.946754673066,-96.552182933868", "🔗 Ver Mapa")</f>
        <v>🔗 Ver Mapa</v>
      </c>
    </row>
    <row r="1324" spans="1:12" ht="43.5" x14ac:dyDescent="0.35">
      <c r="A1324" s="6" t="s">
        <v>614</v>
      </c>
      <c r="B1324" s="6" t="s">
        <v>615</v>
      </c>
      <c r="C1324" s="6" t="s">
        <v>847</v>
      </c>
      <c r="D1324" s="11" t="s">
        <v>61</v>
      </c>
      <c r="E1324" s="17" t="s">
        <v>74</v>
      </c>
      <c r="F1324" s="17" t="s">
        <v>89</v>
      </c>
      <c r="G1324" s="11" t="s">
        <v>220</v>
      </c>
      <c r="H1324" s="11" t="s">
        <v>1011</v>
      </c>
      <c r="I1324" s="17" t="s">
        <v>138</v>
      </c>
      <c r="J1324" s="17">
        <v>15.923916714477</v>
      </c>
      <c r="K1324" s="17">
        <v>-96.175687595244995</v>
      </c>
      <c r="L1324" s="17" t="str">
        <f>HYPERLINK("https://maps.google.com/?q=15.923916714477,-96.175687595245", "🔗 Ver Mapa")</f>
        <v>🔗 Ver Mapa</v>
      </c>
    </row>
    <row r="1325" spans="1:12" ht="43.5" x14ac:dyDescent="0.35">
      <c r="A1325" s="5" t="s">
        <v>614</v>
      </c>
      <c r="B1325" s="5" t="s">
        <v>615</v>
      </c>
      <c r="C1325" s="5" t="s">
        <v>665</v>
      </c>
      <c r="D1325" s="8" t="s">
        <v>61</v>
      </c>
      <c r="E1325" s="16" t="s">
        <v>74</v>
      </c>
      <c r="F1325" s="16" t="s">
        <v>89</v>
      </c>
      <c r="G1325" s="8" t="s">
        <v>666</v>
      </c>
      <c r="H1325" s="8" t="s">
        <v>667</v>
      </c>
      <c r="I1325" s="16" t="s">
        <v>138</v>
      </c>
      <c r="J1325" s="16">
        <v>15.898071385743</v>
      </c>
      <c r="K1325" s="16">
        <v>-96.939883882277996</v>
      </c>
      <c r="L1325" s="16" t="str">
        <f>HYPERLINK("https://maps.google.com/?q=15.898071385743,-96.939883882278", "🔗 Ver Mapa")</f>
        <v>🔗 Ver Mapa</v>
      </c>
    </row>
    <row r="1326" spans="1:12" ht="29" x14ac:dyDescent="0.35">
      <c r="A1326" s="6" t="s">
        <v>614</v>
      </c>
      <c r="B1326" s="6" t="s">
        <v>615</v>
      </c>
      <c r="C1326" s="6" t="s">
        <v>852</v>
      </c>
      <c r="D1326" s="11" t="s">
        <v>61</v>
      </c>
      <c r="E1326" s="17" t="s">
        <v>74</v>
      </c>
      <c r="F1326" s="17" t="s">
        <v>89</v>
      </c>
      <c r="G1326" s="11" t="s">
        <v>111</v>
      </c>
      <c r="H1326" s="11" t="s">
        <v>133</v>
      </c>
      <c r="I1326" s="17" t="s">
        <v>138</v>
      </c>
      <c r="J1326" s="17">
        <v>15.772829624323</v>
      </c>
      <c r="K1326" s="17">
        <v>-96.133718288360996</v>
      </c>
      <c r="L1326" s="17" t="str">
        <f>HYPERLINK("https://maps.google.com/?q=15.772829624323,-96.133718288361", "🔗 Ver Mapa")</f>
        <v>🔗 Ver Mapa</v>
      </c>
    </row>
    <row r="1327" spans="1:12" ht="29" x14ac:dyDescent="0.35">
      <c r="A1327" s="5" t="s">
        <v>614</v>
      </c>
      <c r="B1327" s="5" t="s">
        <v>615</v>
      </c>
      <c r="C1327" s="5" t="s">
        <v>654</v>
      </c>
      <c r="D1327" s="8" t="s">
        <v>61</v>
      </c>
      <c r="E1327" s="16" t="s">
        <v>74</v>
      </c>
      <c r="F1327" s="16" t="s">
        <v>89</v>
      </c>
      <c r="G1327" s="8" t="s">
        <v>655</v>
      </c>
      <c r="H1327" s="8" t="s">
        <v>1012</v>
      </c>
      <c r="I1327" s="16" t="s">
        <v>138</v>
      </c>
      <c r="J1327" s="16">
        <v>15.716555092557</v>
      </c>
      <c r="K1327" s="16">
        <v>-96.594008872925002</v>
      </c>
      <c r="L1327" s="16" t="str">
        <f>HYPERLINK("https://maps.google.com/?q=15.716555092557,-96.594008872925", "🔗 Ver Mapa")</f>
        <v>🔗 Ver Mapa</v>
      </c>
    </row>
    <row r="1328" spans="1:12" ht="43.5" x14ac:dyDescent="0.35">
      <c r="A1328" s="6" t="s">
        <v>614</v>
      </c>
      <c r="B1328" s="6" t="s">
        <v>615</v>
      </c>
      <c r="C1328" s="6" t="s">
        <v>1013</v>
      </c>
      <c r="D1328" s="11" t="s">
        <v>61</v>
      </c>
      <c r="E1328" s="17" t="s">
        <v>77</v>
      </c>
      <c r="F1328" s="17" t="s">
        <v>88</v>
      </c>
      <c r="G1328" s="11" t="s">
        <v>1014</v>
      </c>
      <c r="H1328" s="11" t="s">
        <v>1015</v>
      </c>
      <c r="I1328" s="17" t="s">
        <v>138</v>
      </c>
      <c r="J1328" s="17">
        <v>16.504770605095999</v>
      </c>
      <c r="K1328" s="17">
        <v>-95.064932944774995</v>
      </c>
      <c r="L1328" s="17" t="str">
        <f>HYPERLINK("https://maps.google.com/?q=16.504770605096,-95.064932944775", "🔗 Ver Mapa")</f>
        <v>🔗 Ver Mapa</v>
      </c>
    </row>
    <row r="1329" spans="1:12" ht="29" x14ac:dyDescent="0.35">
      <c r="A1329" s="5" t="s">
        <v>614</v>
      </c>
      <c r="B1329" s="5" t="s">
        <v>615</v>
      </c>
      <c r="C1329" s="5" t="s">
        <v>625</v>
      </c>
      <c r="D1329" s="8" t="s">
        <v>61</v>
      </c>
      <c r="E1329" s="16" t="s">
        <v>77</v>
      </c>
      <c r="F1329" s="16" t="s">
        <v>88</v>
      </c>
      <c r="G1329" s="8" t="s">
        <v>107</v>
      </c>
      <c r="H1329" s="8" t="s">
        <v>129</v>
      </c>
      <c r="I1329" s="16" t="s">
        <v>138</v>
      </c>
      <c r="J1329" s="16">
        <v>16.452468949214001</v>
      </c>
      <c r="K1329" s="16">
        <v>-95.015679381615001</v>
      </c>
      <c r="L1329" s="16" t="str">
        <f>HYPERLINK("https://maps.google.com/?q=16.452468949214,-95.015679381615", "🔗 Ver Mapa")</f>
        <v>🔗 Ver Mapa</v>
      </c>
    </row>
    <row r="1330" spans="1:12" ht="43.5" x14ac:dyDescent="0.35">
      <c r="A1330" s="6" t="s">
        <v>614</v>
      </c>
      <c r="B1330" s="6" t="s">
        <v>615</v>
      </c>
      <c r="C1330" s="6" t="s">
        <v>865</v>
      </c>
      <c r="D1330" s="11" t="s">
        <v>61</v>
      </c>
      <c r="E1330" s="17" t="s">
        <v>77</v>
      </c>
      <c r="F1330" s="17" t="s">
        <v>88</v>
      </c>
      <c r="G1330" s="11" t="s">
        <v>866</v>
      </c>
      <c r="H1330" s="11" t="s">
        <v>1016</v>
      </c>
      <c r="I1330" s="17" t="s">
        <v>138</v>
      </c>
      <c r="J1330" s="17">
        <v>16.880705345452999</v>
      </c>
      <c r="K1330" s="17">
        <v>-95.039524466269995</v>
      </c>
      <c r="L1330" s="17" t="str">
        <f>HYPERLINK("https://maps.google.com/?q=16.880705345453,-95.03952446627", "🔗 Ver Mapa")</f>
        <v>🔗 Ver Mapa</v>
      </c>
    </row>
    <row r="1331" spans="1:12" ht="29" x14ac:dyDescent="0.35">
      <c r="A1331" s="5" t="s">
        <v>614</v>
      </c>
      <c r="B1331" s="5" t="s">
        <v>615</v>
      </c>
      <c r="C1331" s="5" t="s">
        <v>1017</v>
      </c>
      <c r="D1331" s="8" t="s">
        <v>61</v>
      </c>
      <c r="E1331" s="16" t="s">
        <v>77</v>
      </c>
      <c r="F1331" s="16" t="s">
        <v>88</v>
      </c>
      <c r="G1331" s="8" t="s">
        <v>1018</v>
      </c>
      <c r="H1331" s="8" t="s">
        <v>1019</v>
      </c>
      <c r="I1331" s="16" t="s">
        <v>138</v>
      </c>
      <c r="J1331" s="16">
        <v>16.320845870622001</v>
      </c>
      <c r="K1331" s="16">
        <v>-94.757181984130995</v>
      </c>
      <c r="L1331" s="16" t="str">
        <f>HYPERLINK("https://maps.google.com/?q=16.320845870622,-94.757181984131", "🔗 Ver Mapa")</f>
        <v>🔗 Ver Mapa</v>
      </c>
    </row>
    <row r="1332" spans="1:12" ht="29" x14ac:dyDescent="0.35">
      <c r="A1332" s="6" t="s">
        <v>614</v>
      </c>
      <c r="B1332" s="6" t="s">
        <v>615</v>
      </c>
      <c r="C1332" s="6" t="s">
        <v>1020</v>
      </c>
      <c r="D1332" s="11" t="s">
        <v>61</v>
      </c>
      <c r="E1332" s="17" t="s">
        <v>77</v>
      </c>
      <c r="F1332" s="17" t="s">
        <v>88</v>
      </c>
      <c r="G1332" s="11" t="s">
        <v>463</v>
      </c>
      <c r="H1332" s="11" t="s">
        <v>1021</v>
      </c>
      <c r="I1332" s="17" t="s">
        <v>138</v>
      </c>
      <c r="J1332" s="17">
        <v>16.233702393270999</v>
      </c>
      <c r="K1332" s="17">
        <v>-94.627787946102004</v>
      </c>
      <c r="L1332" s="17" t="str">
        <f>HYPERLINK("https://maps.google.com/?q=16.233702393271,-94.627787946102", "🔗 Ver Mapa")</f>
        <v>🔗 Ver Mapa</v>
      </c>
    </row>
    <row r="1333" spans="1:12" ht="43.5" x14ac:dyDescent="0.35">
      <c r="A1333" s="5" t="s">
        <v>614</v>
      </c>
      <c r="B1333" s="5" t="s">
        <v>615</v>
      </c>
      <c r="C1333" s="5" t="s">
        <v>871</v>
      </c>
      <c r="D1333" s="8" t="s">
        <v>61</v>
      </c>
      <c r="E1333" s="16" t="s">
        <v>77</v>
      </c>
      <c r="F1333" s="16" t="s">
        <v>88</v>
      </c>
      <c r="G1333" s="8" t="s">
        <v>872</v>
      </c>
      <c r="H1333" s="8" t="s">
        <v>873</v>
      </c>
      <c r="I1333" s="16" t="s">
        <v>138</v>
      </c>
      <c r="J1333" s="16">
        <v>17.015999711433999</v>
      </c>
      <c r="K1333" s="16">
        <v>-95.042897749668001</v>
      </c>
      <c r="L1333" s="16" t="str">
        <f>HYPERLINK("https://maps.google.com/?q=17.015999711434,-95.042897749668", "🔗 Ver Mapa")</f>
        <v>🔗 Ver Mapa</v>
      </c>
    </row>
    <row r="1334" spans="1:12" ht="43.5" x14ac:dyDescent="0.35">
      <c r="A1334" s="6" t="s">
        <v>614</v>
      </c>
      <c r="B1334" s="6" t="s">
        <v>615</v>
      </c>
      <c r="C1334" s="6" t="s">
        <v>875</v>
      </c>
      <c r="D1334" s="11" t="s">
        <v>61</v>
      </c>
      <c r="E1334" s="17" t="s">
        <v>77</v>
      </c>
      <c r="F1334" s="17" t="s">
        <v>88</v>
      </c>
      <c r="G1334" s="11" t="s">
        <v>876</v>
      </c>
      <c r="H1334" s="11" t="s">
        <v>877</v>
      </c>
      <c r="I1334" s="17" t="s">
        <v>138</v>
      </c>
      <c r="J1334" s="17">
        <v>16.370721023007999</v>
      </c>
      <c r="K1334" s="17">
        <v>-94.198217914016993</v>
      </c>
      <c r="L1334" s="17" t="str">
        <f>HYPERLINK("https://maps.google.com/?q=16.370721023008,-94.198217914017", "🔗 Ver Mapa")</f>
        <v>🔗 Ver Mapa</v>
      </c>
    </row>
    <row r="1335" spans="1:12" ht="29" x14ac:dyDescent="0.35">
      <c r="A1335" s="5" t="s">
        <v>614</v>
      </c>
      <c r="B1335" s="5" t="s">
        <v>615</v>
      </c>
      <c r="C1335" s="5" t="s">
        <v>1022</v>
      </c>
      <c r="D1335" s="8" t="s">
        <v>61</v>
      </c>
      <c r="E1335" s="16" t="s">
        <v>77</v>
      </c>
      <c r="F1335" s="16" t="s">
        <v>88</v>
      </c>
      <c r="G1335" s="8" t="s">
        <v>1023</v>
      </c>
      <c r="H1335" s="8" t="s">
        <v>1024</v>
      </c>
      <c r="I1335" s="16" t="s">
        <v>138</v>
      </c>
      <c r="J1335" s="16">
        <v>16.822345604294998</v>
      </c>
      <c r="K1335" s="16">
        <v>-95.119956241734002</v>
      </c>
      <c r="L1335" s="16" t="str">
        <f>HYPERLINK("https://maps.google.com/?q=16.822345604295,-95.119956241734", "🔗 Ver Mapa")</f>
        <v>🔗 Ver Mapa</v>
      </c>
    </row>
    <row r="1336" spans="1:12" ht="29" x14ac:dyDescent="0.35">
      <c r="A1336" s="6" t="s">
        <v>614</v>
      </c>
      <c r="B1336" s="6" t="s">
        <v>615</v>
      </c>
      <c r="C1336" s="6" t="s">
        <v>627</v>
      </c>
      <c r="D1336" s="11" t="s">
        <v>61</v>
      </c>
      <c r="E1336" s="17" t="s">
        <v>77</v>
      </c>
      <c r="F1336" s="17" t="s">
        <v>88</v>
      </c>
      <c r="G1336" s="11" t="s">
        <v>628</v>
      </c>
      <c r="H1336" s="11" t="s">
        <v>1025</v>
      </c>
      <c r="I1336" s="17" t="s">
        <v>138</v>
      </c>
      <c r="J1336" s="17">
        <v>16.360476167483998</v>
      </c>
      <c r="K1336" s="17">
        <v>-95.015925927577996</v>
      </c>
      <c r="L1336" s="17" t="str">
        <f>HYPERLINK("https://maps.google.com/?q=16.360476167484,-95.015925927578", "🔗 Ver Mapa")</f>
        <v>🔗 Ver Mapa</v>
      </c>
    </row>
    <row r="1337" spans="1:12" ht="29" x14ac:dyDescent="0.35">
      <c r="A1337" s="5" t="s">
        <v>614</v>
      </c>
      <c r="B1337" s="5" t="s">
        <v>615</v>
      </c>
      <c r="C1337" s="5" t="s">
        <v>1026</v>
      </c>
      <c r="D1337" s="8" t="s">
        <v>61</v>
      </c>
      <c r="E1337" s="16" t="s">
        <v>77</v>
      </c>
      <c r="F1337" s="16" t="s">
        <v>88</v>
      </c>
      <c r="G1337" s="8" t="s">
        <v>209</v>
      </c>
      <c r="H1337" s="8" t="s">
        <v>1027</v>
      </c>
      <c r="I1337" s="16" t="s">
        <v>138</v>
      </c>
      <c r="J1337" s="16">
        <v>16.595310641773001</v>
      </c>
      <c r="K1337" s="16">
        <v>-94.694232322754004</v>
      </c>
      <c r="L1337" s="16" t="str">
        <f>HYPERLINK("https://maps.google.com/?q=16.595310641773,-94.694232322754", "🔗 Ver Mapa")</f>
        <v>🔗 Ver Mapa</v>
      </c>
    </row>
    <row r="1338" spans="1:12" ht="29" x14ac:dyDescent="0.35">
      <c r="A1338" s="6" t="s">
        <v>614</v>
      </c>
      <c r="B1338" s="6" t="s">
        <v>615</v>
      </c>
      <c r="C1338" s="6" t="s">
        <v>1028</v>
      </c>
      <c r="D1338" s="11" t="s">
        <v>61</v>
      </c>
      <c r="E1338" s="17" t="s">
        <v>77</v>
      </c>
      <c r="F1338" s="17" t="s">
        <v>88</v>
      </c>
      <c r="G1338" s="11" t="s">
        <v>1029</v>
      </c>
      <c r="H1338" s="11" t="s">
        <v>1030</v>
      </c>
      <c r="I1338" s="17" t="s">
        <v>138</v>
      </c>
      <c r="J1338" s="17">
        <v>16.479258999999999</v>
      </c>
      <c r="K1338" s="17">
        <v>-94.836112999999997</v>
      </c>
      <c r="L1338" s="17" t="str">
        <f>HYPERLINK("https://maps.google.com/?q=16.479259,-94.836113", "🔗 Ver Mapa")</f>
        <v>🔗 Ver Mapa</v>
      </c>
    </row>
    <row r="1339" spans="1:12" ht="29" x14ac:dyDescent="0.35">
      <c r="A1339" s="5" t="s">
        <v>614</v>
      </c>
      <c r="B1339" s="5" t="s">
        <v>615</v>
      </c>
      <c r="C1339" s="5" t="s">
        <v>868</v>
      </c>
      <c r="D1339" s="8" t="s">
        <v>61</v>
      </c>
      <c r="E1339" s="16" t="s">
        <v>77</v>
      </c>
      <c r="F1339" s="16" t="s">
        <v>201</v>
      </c>
      <c r="G1339" s="8" t="s">
        <v>869</v>
      </c>
      <c r="H1339" s="8" t="s">
        <v>870</v>
      </c>
      <c r="I1339" s="16" t="s">
        <v>138</v>
      </c>
      <c r="J1339" s="16">
        <v>16.204631852344999</v>
      </c>
      <c r="K1339" s="16">
        <v>-95.204825265047006</v>
      </c>
      <c r="L1339" s="16" t="str">
        <f>HYPERLINK("https://maps.google.com/?q=16.204631852345,-95.204825265047", "🔗 Ver Mapa")</f>
        <v>🔗 Ver Mapa</v>
      </c>
    </row>
    <row r="1340" spans="1:12" ht="43.5" x14ac:dyDescent="0.35">
      <c r="A1340" s="6" t="s">
        <v>614</v>
      </c>
      <c r="B1340" s="6" t="s">
        <v>615</v>
      </c>
      <c r="C1340" s="6" t="s">
        <v>1031</v>
      </c>
      <c r="D1340" s="11" t="s">
        <v>61</v>
      </c>
      <c r="E1340" s="17" t="s">
        <v>77</v>
      </c>
      <c r="F1340" s="17" t="s">
        <v>201</v>
      </c>
      <c r="G1340" s="11" t="s">
        <v>1032</v>
      </c>
      <c r="H1340" s="11" t="s">
        <v>1033</v>
      </c>
      <c r="I1340" s="17" t="s">
        <v>138</v>
      </c>
      <c r="J1340" s="17">
        <v>15.916771871596</v>
      </c>
      <c r="K1340" s="17">
        <v>-95.808425521496005</v>
      </c>
      <c r="L1340" s="17" t="str">
        <f>HYPERLINK("https://maps.google.com/?q=15.916771871596,-95.808425521496", "🔗 Ver Mapa")</f>
        <v>🔗 Ver Mapa</v>
      </c>
    </row>
    <row r="1341" spans="1:12" ht="29" x14ac:dyDescent="0.35">
      <c r="A1341" s="5" t="s">
        <v>614</v>
      </c>
      <c r="B1341" s="5" t="s">
        <v>615</v>
      </c>
      <c r="C1341" s="5" t="s">
        <v>708</v>
      </c>
      <c r="D1341" s="8" t="s">
        <v>61</v>
      </c>
      <c r="E1341" s="16" t="s">
        <v>77</v>
      </c>
      <c r="F1341" s="16" t="s">
        <v>201</v>
      </c>
      <c r="G1341" s="8" t="s">
        <v>709</v>
      </c>
      <c r="H1341" s="8" t="s">
        <v>1034</v>
      </c>
      <c r="I1341" s="16" t="s">
        <v>138</v>
      </c>
      <c r="J1341" s="16">
        <v>16.753768156406998</v>
      </c>
      <c r="K1341" s="16">
        <v>-95.423253548505997</v>
      </c>
      <c r="L1341" s="16" t="str">
        <f>HYPERLINK("https://maps.google.com/?q=16.753768156407,-95.423253548506", "🔗 Ver Mapa")</f>
        <v>🔗 Ver Mapa</v>
      </c>
    </row>
    <row r="1342" spans="1:12" ht="29" x14ac:dyDescent="0.35">
      <c r="A1342" s="6" t="s">
        <v>614</v>
      </c>
      <c r="B1342" s="6" t="s">
        <v>615</v>
      </c>
      <c r="C1342" s="6" t="s">
        <v>651</v>
      </c>
      <c r="D1342" s="11" t="s">
        <v>61</v>
      </c>
      <c r="E1342" s="17" t="s">
        <v>77</v>
      </c>
      <c r="F1342" s="17" t="s">
        <v>201</v>
      </c>
      <c r="G1342" s="11" t="s">
        <v>652</v>
      </c>
      <c r="H1342" s="11" t="s">
        <v>1035</v>
      </c>
      <c r="I1342" s="17" t="s">
        <v>138</v>
      </c>
      <c r="J1342" s="17">
        <v>16.311239693518001</v>
      </c>
      <c r="K1342" s="17">
        <v>-95.261636712967004</v>
      </c>
      <c r="L1342" s="17" t="str">
        <f>HYPERLINK("https://maps.google.com/?q=16.311239693518,-95.261636712967", "🔗 Ver Mapa")</f>
        <v>🔗 Ver Mapa</v>
      </c>
    </row>
    <row r="1343" spans="1:12" ht="29" x14ac:dyDescent="0.35">
      <c r="A1343" s="5" t="s">
        <v>614</v>
      </c>
      <c r="B1343" s="5" t="s">
        <v>615</v>
      </c>
      <c r="C1343" s="5" t="s">
        <v>1036</v>
      </c>
      <c r="D1343" s="8" t="s">
        <v>61</v>
      </c>
      <c r="E1343" s="16" t="s">
        <v>73</v>
      </c>
      <c r="F1343" s="16" t="s">
        <v>260</v>
      </c>
      <c r="G1343" s="8" t="s">
        <v>1037</v>
      </c>
      <c r="H1343" s="8" t="s">
        <v>1038</v>
      </c>
      <c r="I1343" s="16" t="s">
        <v>138</v>
      </c>
      <c r="J1343" s="16">
        <v>17.996025541860998</v>
      </c>
      <c r="K1343" s="16">
        <v>-97.429917634253997</v>
      </c>
      <c r="L1343" s="16" t="str">
        <f>HYPERLINK("https://maps.google.com/?q=17.996025541861,-97.429917634254", "🔗 Ver Mapa")</f>
        <v>🔗 Ver Mapa</v>
      </c>
    </row>
    <row r="1344" spans="1:12" ht="43.5" x14ac:dyDescent="0.35">
      <c r="A1344" s="6" t="s">
        <v>614</v>
      </c>
      <c r="B1344" s="6" t="s">
        <v>615</v>
      </c>
      <c r="C1344" s="6" t="s">
        <v>694</v>
      </c>
      <c r="D1344" s="11" t="s">
        <v>61</v>
      </c>
      <c r="E1344" s="17" t="s">
        <v>73</v>
      </c>
      <c r="F1344" s="17" t="s">
        <v>249</v>
      </c>
      <c r="G1344" s="11" t="s">
        <v>695</v>
      </c>
      <c r="H1344" s="11" t="s">
        <v>887</v>
      </c>
      <c r="I1344" s="17" t="s">
        <v>138</v>
      </c>
      <c r="J1344" s="17">
        <v>17.826475492785999</v>
      </c>
      <c r="K1344" s="17">
        <v>-97.783845301922</v>
      </c>
      <c r="L1344" s="17" t="str">
        <f>HYPERLINK("https://maps.google.com/?q=17.826475492786,-97.783845301922", "🔗 Ver Mapa")</f>
        <v>🔗 Ver Mapa</v>
      </c>
    </row>
    <row r="1345" spans="1:12" ht="29" x14ac:dyDescent="0.35">
      <c r="A1345" s="5" t="s">
        <v>614</v>
      </c>
      <c r="B1345" s="5" t="s">
        <v>615</v>
      </c>
      <c r="C1345" s="5" t="s">
        <v>1039</v>
      </c>
      <c r="D1345" s="8" t="s">
        <v>61</v>
      </c>
      <c r="E1345" s="16" t="s">
        <v>73</v>
      </c>
      <c r="F1345" s="16" t="s">
        <v>249</v>
      </c>
      <c r="G1345" s="8" t="s">
        <v>1040</v>
      </c>
      <c r="H1345" s="8" t="s">
        <v>1041</v>
      </c>
      <c r="I1345" s="16" t="s">
        <v>138</v>
      </c>
      <c r="J1345" s="16">
        <v>17.696082365106001</v>
      </c>
      <c r="K1345" s="16">
        <v>-97.732564373016004</v>
      </c>
      <c r="L1345" s="16" t="str">
        <f>HYPERLINK("https://maps.google.com/?q=17.696082365106,-97.732564373016", "🔗 Ver Mapa")</f>
        <v>🔗 Ver Mapa</v>
      </c>
    </row>
    <row r="1346" spans="1:12" ht="29" x14ac:dyDescent="0.35">
      <c r="A1346" s="6" t="s">
        <v>614</v>
      </c>
      <c r="B1346" s="6" t="s">
        <v>615</v>
      </c>
      <c r="C1346" s="6" t="s">
        <v>1042</v>
      </c>
      <c r="D1346" s="11" t="s">
        <v>61</v>
      </c>
      <c r="E1346" s="17" t="s">
        <v>73</v>
      </c>
      <c r="F1346" s="17" t="s">
        <v>249</v>
      </c>
      <c r="G1346" s="11" t="s">
        <v>1043</v>
      </c>
      <c r="H1346" s="11" t="s">
        <v>1044</v>
      </c>
      <c r="I1346" s="17" t="s">
        <v>138</v>
      </c>
      <c r="J1346" s="17">
        <v>17.810663253643</v>
      </c>
      <c r="K1346" s="17">
        <v>-97.845030454037001</v>
      </c>
      <c r="L1346" s="17" t="str">
        <f>HYPERLINK("https://maps.google.com/?q=17.810663253643,-97.845030454037", "🔗 Ver Mapa")</f>
        <v>🔗 Ver Mapa</v>
      </c>
    </row>
    <row r="1347" spans="1:12" ht="43.5" x14ac:dyDescent="0.35">
      <c r="A1347" s="5" t="s">
        <v>614</v>
      </c>
      <c r="B1347" s="5" t="s">
        <v>615</v>
      </c>
      <c r="C1347" s="5" t="s">
        <v>1045</v>
      </c>
      <c r="D1347" s="8" t="s">
        <v>61</v>
      </c>
      <c r="E1347" s="16" t="s">
        <v>73</v>
      </c>
      <c r="F1347" s="16" t="s">
        <v>249</v>
      </c>
      <c r="G1347" s="8" t="s">
        <v>250</v>
      </c>
      <c r="H1347" s="8" t="s">
        <v>1046</v>
      </c>
      <c r="I1347" s="16" t="s">
        <v>138</v>
      </c>
      <c r="J1347" s="16">
        <v>17.890855749520998</v>
      </c>
      <c r="K1347" s="16">
        <v>-98.023633407410003</v>
      </c>
      <c r="L1347" s="16" t="str">
        <f>HYPERLINK("https://maps.google.com/?q=17.890855749521,-98.02363340741", "🔗 Ver Mapa")</f>
        <v>🔗 Ver Mapa</v>
      </c>
    </row>
    <row r="1348" spans="1:12" ht="43.5" x14ac:dyDescent="0.35">
      <c r="A1348" s="6" t="s">
        <v>614</v>
      </c>
      <c r="B1348" s="6" t="s">
        <v>615</v>
      </c>
      <c r="C1348" s="6" t="s">
        <v>901</v>
      </c>
      <c r="D1348" s="11" t="s">
        <v>61</v>
      </c>
      <c r="E1348" s="17" t="s">
        <v>73</v>
      </c>
      <c r="F1348" s="17" t="s">
        <v>249</v>
      </c>
      <c r="G1348" s="11" t="s">
        <v>317</v>
      </c>
      <c r="H1348" s="11" t="s">
        <v>1047</v>
      </c>
      <c r="I1348" s="17" t="s">
        <v>138</v>
      </c>
      <c r="J1348" s="17">
        <v>18.136501318297</v>
      </c>
      <c r="K1348" s="17">
        <v>-97.672826279762006</v>
      </c>
      <c r="L1348" s="17" t="str">
        <f>HYPERLINK("https://maps.google.com/?q=18.136501318297,-97.672826279762", "🔗 Ver Mapa")</f>
        <v>🔗 Ver Mapa</v>
      </c>
    </row>
    <row r="1349" spans="1:12" ht="29" x14ac:dyDescent="0.35">
      <c r="A1349" s="5" t="s">
        <v>614</v>
      </c>
      <c r="B1349" s="5" t="s">
        <v>615</v>
      </c>
      <c r="C1349" s="5" t="s">
        <v>1048</v>
      </c>
      <c r="D1349" s="8" t="s">
        <v>61</v>
      </c>
      <c r="E1349" s="16" t="s">
        <v>73</v>
      </c>
      <c r="F1349" s="16" t="s">
        <v>249</v>
      </c>
      <c r="G1349" s="8" t="s">
        <v>1049</v>
      </c>
      <c r="H1349" s="8" t="s">
        <v>1050</v>
      </c>
      <c r="I1349" s="16" t="s">
        <v>138</v>
      </c>
      <c r="J1349" s="16">
        <v>17.904237262677</v>
      </c>
      <c r="K1349" s="16">
        <v>-97.697216635581995</v>
      </c>
      <c r="L1349" s="16" t="str">
        <f>HYPERLINK("https://maps.google.com/?q=17.904237262677,-97.697216635582", "🔗 Ver Mapa")</f>
        <v>🔗 Ver Mapa</v>
      </c>
    </row>
    <row r="1350" spans="1:12" ht="29" x14ac:dyDescent="0.35">
      <c r="A1350" s="6" t="s">
        <v>614</v>
      </c>
      <c r="B1350" s="6" t="s">
        <v>615</v>
      </c>
      <c r="C1350" s="6" t="s">
        <v>1051</v>
      </c>
      <c r="D1350" s="11" t="s">
        <v>61</v>
      </c>
      <c r="E1350" s="17" t="s">
        <v>73</v>
      </c>
      <c r="F1350" s="17" t="s">
        <v>249</v>
      </c>
      <c r="G1350" s="11" t="s">
        <v>1052</v>
      </c>
      <c r="H1350" s="11" t="s">
        <v>1053</v>
      </c>
      <c r="I1350" s="17" t="s">
        <v>138</v>
      </c>
      <c r="J1350" s="17">
        <v>17.71710447033</v>
      </c>
      <c r="K1350" s="17">
        <v>-97.740775941139006</v>
      </c>
      <c r="L1350" s="17" t="str">
        <f>HYPERLINK("https://maps.google.com/?q=17.71710447033,-97.740775941139", "🔗 Ver Mapa")</f>
        <v>🔗 Ver Mapa</v>
      </c>
    </row>
    <row r="1351" spans="1:12" ht="29" x14ac:dyDescent="0.35">
      <c r="A1351" s="5" t="s">
        <v>614</v>
      </c>
      <c r="B1351" s="5" t="s">
        <v>615</v>
      </c>
      <c r="C1351" s="5" t="s">
        <v>1054</v>
      </c>
      <c r="D1351" s="8" t="s">
        <v>61</v>
      </c>
      <c r="E1351" s="16" t="s">
        <v>73</v>
      </c>
      <c r="F1351" s="16" t="s">
        <v>249</v>
      </c>
      <c r="G1351" s="8" t="s">
        <v>1055</v>
      </c>
      <c r="H1351" s="8" t="s">
        <v>1056</v>
      </c>
      <c r="I1351" s="16" t="s">
        <v>138</v>
      </c>
      <c r="J1351" s="16">
        <v>17.728056601102001</v>
      </c>
      <c r="K1351" s="16">
        <v>-97.977533918980001</v>
      </c>
      <c r="L1351" s="16" t="str">
        <f>HYPERLINK("https://maps.google.com/?q=17.728056601102,-97.97753391898", "🔗 Ver Mapa")</f>
        <v>🔗 Ver Mapa</v>
      </c>
    </row>
    <row r="1352" spans="1:12" ht="29" x14ac:dyDescent="0.35">
      <c r="A1352" s="6" t="s">
        <v>614</v>
      </c>
      <c r="B1352" s="6" t="s">
        <v>615</v>
      </c>
      <c r="C1352" s="6" t="s">
        <v>1057</v>
      </c>
      <c r="D1352" s="11" t="s">
        <v>61</v>
      </c>
      <c r="E1352" s="17" t="s">
        <v>73</v>
      </c>
      <c r="F1352" s="17" t="s">
        <v>249</v>
      </c>
      <c r="G1352" s="11" t="s">
        <v>1058</v>
      </c>
      <c r="H1352" s="11" t="s">
        <v>1059</v>
      </c>
      <c r="I1352" s="17" t="s">
        <v>138</v>
      </c>
      <c r="J1352" s="17">
        <v>17.889925976935999</v>
      </c>
      <c r="K1352" s="17">
        <v>-97.818887267529007</v>
      </c>
      <c r="L1352" s="17" t="str">
        <f>HYPERLINK("https://maps.google.com/?q=17.889925976936,-97.818887267529", "🔗 Ver Mapa")</f>
        <v>🔗 Ver Mapa</v>
      </c>
    </row>
    <row r="1353" spans="1:12" ht="29" x14ac:dyDescent="0.35">
      <c r="A1353" s="5" t="s">
        <v>614</v>
      </c>
      <c r="B1353" s="5" t="s">
        <v>615</v>
      </c>
      <c r="C1353" s="5" t="s">
        <v>895</v>
      </c>
      <c r="D1353" s="8" t="s">
        <v>61</v>
      </c>
      <c r="E1353" s="16" t="s">
        <v>73</v>
      </c>
      <c r="F1353" s="16" t="s">
        <v>585</v>
      </c>
      <c r="G1353" s="8" t="s">
        <v>896</v>
      </c>
      <c r="H1353" s="8" t="s">
        <v>1060</v>
      </c>
      <c r="I1353" s="16" t="s">
        <v>138</v>
      </c>
      <c r="J1353" s="16">
        <v>17.256572391378999</v>
      </c>
      <c r="K1353" s="16">
        <v>-97.810398246001995</v>
      </c>
      <c r="L1353" s="16" t="str">
        <f>HYPERLINK("https://maps.google.com/?q=17.256572391379,-97.810398246002", "🔗 Ver Mapa")</f>
        <v>🔗 Ver Mapa</v>
      </c>
    </row>
    <row r="1354" spans="1:12" ht="43.5" x14ac:dyDescent="0.35">
      <c r="A1354" s="6" t="s">
        <v>614</v>
      </c>
      <c r="B1354" s="6" t="s">
        <v>615</v>
      </c>
      <c r="C1354" s="6" t="s">
        <v>909</v>
      </c>
      <c r="D1354" s="11" t="s">
        <v>61</v>
      </c>
      <c r="E1354" s="17" t="s">
        <v>73</v>
      </c>
      <c r="F1354" s="17" t="s">
        <v>585</v>
      </c>
      <c r="G1354" s="11" t="s">
        <v>586</v>
      </c>
      <c r="H1354" s="11" t="s">
        <v>910</v>
      </c>
      <c r="I1354" s="17" t="s">
        <v>138</v>
      </c>
      <c r="J1354" s="17">
        <v>17.236803206337999</v>
      </c>
      <c r="K1354" s="17">
        <v>-97.921828701080003</v>
      </c>
      <c r="L1354" s="17" t="str">
        <f>HYPERLINK("https://maps.google.com/?q=17.236803206338,-97.92182870108", "🔗 Ver Mapa")</f>
        <v>🔗 Ver Mapa</v>
      </c>
    </row>
    <row r="1355" spans="1:12" ht="29" x14ac:dyDescent="0.35">
      <c r="A1355" s="5" t="s">
        <v>614</v>
      </c>
      <c r="B1355" s="5" t="s">
        <v>615</v>
      </c>
      <c r="C1355" s="5" t="s">
        <v>1061</v>
      </c>
      <c r="D1355" s="8" t="s">
        <v>61</v>
      </c>
      <c r="E1355" s="16" t="s">
        <v>73</v>
      </c>
      <c r="F1355" s="16" t="s">
        <v>585</v>
      </c>
      <c r="G1355" s="8" t="s">
        <v>1062</v>
      </c>
      <c r="H1355" s="8" t="s">
        <v>1063</v>
      </c>
      <c r="I1355" s="16" t="s">
        <v>138</v>
      </c>
      <c r="J1355" s="16">
        <v>17.433755583501998</v>
      </c>
      <c r="K1355" s="16">
        <v>-97.936295514050997</v>
      </c>
      <c r="L1355" s="16" t="str">
        <f>HYPERLINK("https://maps.google.com/?q=17.433755583502,-97.936295514051", "🔗 Ver Mapa")</f>
        <v>🔗 Ver Mapa</v>
      </c>
    </row>
    <row r="1356" spans="1:12" ht="43.5" x14ac:dyDescent="0.35">
      <c r="A1356" s="6" t="s">
        <v>614</v>
      </c>
      <c r="B1356" s="6" t="s">
        <v>615</v>
      </c>
      <c r="C1356" s="6" t="s">
        <v>881</v>
      </c>
      <c r="D1356" s="11" t="s">
        <v>61</v>
      </c>
      <c r="E1356" s="17" t="s">
        <v>73</v>
      </c>
      <c r="F1356" s="17" t="s">
        <v>187</v>
      </c>
      <c r="G1356" s="11" t="s">
        <v>882</v>
      </c>
      <c r="H1356" s="11" t="s">
        <v>883</v>
      </c>
      <c r="I1356" s="17" t="s">
        <v>138</v>
      </c>
      <c r="J1356" s="17">
        <v>17.453889</v>
      </c>
      <c r="K1356" s="17">
        <v>-97.225278000000003</v>
      </c>
      <c r="L1356" s="17" t="str">
        <f>HYPERLINK("https://maps.google.com/?q=17.453889,-97.225278", "🔗 Ver Mapa")</f>
        <v>🔗 Ver Mapa</v>
      </c>
    </row>
    <row r="1357" spans="1:12" ht="29" x14ac:dyDescent="0.35">
      <c r="A1357" s="5" t="s">
        <v>614</v>
      </c>
      <c r="B1357" s="5" t="s">
        <v>615</v>
      </c>
      <c r="C1357" s="5" t="s">
        <v>1064</v>
      </c>
      <c r="D1357" s="8" t="s">
        <v>61</v>
      </c>
      <c r="E1357" s="16" t="s">
        <v>73</v>
      </c>
      <c r="F1357" s="16" t="s">
        <v>187</v>
      </c>
      <c r="G1357" s="8" t="s">
        <v>1065</v>
      </c>
      <c r="H1357" s="8" t="s">
        <v>1066</v>
      </c>
      <c r="I1357" s="16" t="s">
        <v>138</v>
      </c>
      <c r="J1357" s="16">
        <v>17.451812848559001</v>
      </c>
      <c r="K1357" s="16">
        <v>-97.071518695769996</v>
      </c>
      <c r="L1357" s="16" t="str">
        <f>HYPERLINK("https://maps.google.com/?q=17.451812848559,-97.07151869577", "🔗 Ver Mapa")</f>
        <v>🔗 Ver Mapa</v>
      </c>
    </row>
    <row r="1358" spans="1:12" ht="29" x14ac:dyDescent="0.35">
      <c r="A1358" s="6" t="s">
        <v>614</v>
      </c>
      <c r="B1358" s="6" t="s">
        <v>615</v>
      </c>
      <c r="C1358" s="6" t="s">
        <v>1067</v>
      </c>
      <c r="D1358" s="11" t="s">
        <v>61</v>
      </c>
      <c r="E1358" s="17" t="s">
        <v>73</v>
      </c>
      <c r="F1358" s="17" t="s">
        <v>511</v>
      </c>
      <c r="G1358" s="11" t="s">
        <v>1068</v>
      </c>
      <c r="H1358" s="11" t="s">
        <v>1069</v>
      </c>
      <c r="I1358" s="17" t="s">
        <v>138</v>
      </c>
      <c r="J1358" s="17">
        <v>17.576577650899001</v>
      </c>
      <c r="K1358" s="17">
        <v>-98.343880736106996</v>
      </c>
      <c r="L1358" s="17" t="str">
        <f>HYPERLINK("https://maps.google.com/?q=17.576577650899,-98.343880736107", "🔗 Ver Mapa")</f>
        <v>🔗 Ver Mapa</v>
      </c>
    </row>
    <row r="1359" spans="1:12" ht="29" x14ac:dyDescent="0.35">
      <c r="A1359" s="5" t="s">
        <v>614</v>
      </c>
      <c r="B1359" s="5" t="s">
        <v>615</v>
      </c>
      <c r="C1359" s="5" t="s">
        <v>1070</v>
      </c>
      <c r="D1359" s="8" t="s">
        <v>61</v>
      </c>
      <c r="E1359" s="16" t="s">
        <v>73</v>
      </c>
      <c r="F1359" s="16" t="s">
        <v>511</v>
      </c>
      <c r="G1359" s="8" t="s">
        <v>1071</v>
      </c>
      <c r="H1359" s="8" t="s">
        <v>1072</v>
      </c>
      <c r="I1359" s="16" t="s">
        <v>138</v>
      </c>
      <c r="J1359" s="16">
        <v>17.455515060905999</v>
      </c>
      <c r="K1359" s="16">
        <v>-98.089188457671995</v>
      </c>
      <c r="L1359" s="16" t="str">
        <f>HYPERLINK("https://maps.google.com/?q=17.455515060906,-98.089188457672", "🔗 Ver Mapa")</f>
        <v>🔗 Ver Mapa</v>
      </c>
    </row>
    <row r="1360" spans="1:12" ht="29" x14ac:dyDescent="0.35">
      <c r="A1360" s="6" t="s">
        <v>614</v>
      </c>
      <c r="B1360" s="6" t="s">
        <v>615</v>
      </c>
      <c r="C1360" s="6" t="s">
        <v>1073</v>
      </c>
      <c r="D1360" s="11" t="s">
        <v>61</v>
      </c>
      <c r="E1360" s="17" t="s">
        <v>73</v>
      </c>
      <c r="F1360" s="17" t="s">
        <v>511</v>
      </c>
      <c r="G1360" s="11" t="s">
        <v>512</v>
      </c>
      <c r="H1360" s="11" t="s">
        <v>1074</v>
      </c>
      <c r="I1360" s="17" t="s">
        <v>138</v>
      </c>
      <c r="J1360" s="17">
        <v>17.426290137346999</v>
      </c>
      <c r="K1360" s="17">
        <v>-98.152815550925993</v>
      </c>
      <c r="L1360" s="17" t="str">
        <f>HYPERLINK("https://maps.google.com/?q=17.426290137347,-98.152815550926", "🔗 Ver Mapa")</f>
        <v>🔗 Ver Mapa</v>
      </c>
    </row>
    <row r="1361" spans="1:12" ht="29" x14ac:dyDescent="0.35">
      <c r="A1361" s="5" t="s">
        <v>614</v>
      </c>
      <c r="B1361" s="5" t="s">
        <v>615</v>
      </c>
      <c r="C1361" s="5" t="s">
        <v>1075</v>
      </c>
      <c r="D1361" s="8" t="s">
        <v>61</v>
      </c>
      <c r="E1361" s="16" t="s">
        <v>73</v>
      </c>
      <c r="F1361" s="16" t="s">
        <v>81</v>
      </c>
      <c r="G1361" s="8" t="s">
        <v>1076</v>
      </c>
      <c r="H1361" s="8" t="s">
        <v>1077</v>
      </c>
      <c r="I1361" s="16" t="s">
        <v>138</v>
      </c>
      <c r="J1361" s="16">
        <v>17.765817999999999</v>
      </c>
      <c r="K1361" s="16">
        <v>-97.526426000000001</v>
      </c>
      <c r="L1361" s="16" t="str">
        <f>HYPERLINK("https://maps.google.com/?q=17.765818,-97.526426", "🔗 Ver Mapa")</f>
        <v>🔗 Ver Mapa</v>
      </c>
    </row>
    <row r="1362" spans="1:12" ht="58" x14ac:dyDescent="0.35">
      <c r="A1362" s="6" t="s">
        <v>614</v>
      </c>
      <c r="B1362" s="6" t="s">
        <v>615</v>
      </c>
      <c r="C1362" s="6" t="s">
        <v>1078</v>
      </c>
      <c r="D1362" s="11" t="s">
        <v>61</v>
      </c>
      <c r="E1362" s="17" t="s">
        <v>73</v>
      </c>
      <c r="F1362" s="17" t="s">
        <v>81</v>
      </c>
      <c r="G1362" s="11" t="s">
        <v>1079</v>
      </c>
      <c r="H1362" s="11" t="s">
        <v>1080</v>
      </c>
      <c r="I1362" s="17" t="s">
        <v>138</v>
      </c>
      <c r="J1362" s="17">
        <v>17.679366999999999</v>
      </c>
      <c r="K1362" s="17">
        <v>-97.568109000000007</v>
      </c>
      <c r="L1362" s="17" t="str">
        <f>HYPERLINK("https://maps.google.com/?q=17.679367,-97.568109", "🔗 Ver Mapa")</f>
        <v>🔗 Ver Mapa</v>
      </c>
    </row>
    <row r="1363" spans="1:12" ht="29" x14ac:dyDescent="0.35">
      <c r="A1363" s="5" t="s">
        <v>614</v>
      </c>
      <c r="B1363" s="5" t="s">
        <v>615</v>
      </c>
      <c r="C1363" s="5" t="s">
        <v>884</v>
      </c>
      <c r="D1363" s="8" t="s">
        <v>61</v>
      </c>
      <c r="E1363" s="16" t="s">
        <v>73</v>
      </c>
      <c r="F1363" s="16" t="s">
        <v>83</v>
      </c>
      <c r="G1363" s="8" t="s">
        <v>885</v>
      </c>
      <c r="H1363" s="8" t="s">
        <v>1081</v>
      </c>
      <c r="I1363" s="16" t="s">
        <v>138</v>
      </c>
      <c r="J1363" s="16">
        <v>16.986941475306001</v>
      </c>
      <c r="K1363" s="16">
        <v>-97.559048982803006</v>
      </c>
      <c r="L1363" s="16" t="str">
        <f>HYPERLINK("https://maps.google.com/?q=16.986941475306,-97.559048982803", "🔗 Ver Mapa")</f>
        <v>🔗 Ver Mapa</v>
      </c>
    </row>
    <row r="1364" spans="1:12" ht="43.5" x14ac:dyDescent="0.35">
      <c r="A1364" s="6" t="s">
        <v>614</v>
      </c>
      <c r="B1364" s="6" t="s">
        <v>615</v>
      </c>
      <c r="C1364" s="6" t="s">
        <v>678</v>
      </c>
      <c r="D1364" s="11" t="s">
        <v>61</v>
      </c>
      <c r="E1364" s="17" t="s">
        <v>73</v>
      </c>
      <c r="F1364" s="17" t="s">
        <v>83</v>
      </c>
      <c r="G1364" s="11" t="s">
        <v>212</v>
      </c>
      <c r="H1364" s="11" t="s">
        <v>888</v>
      </c>
      <c r="I1364" s="17" t="s">
        <v>138</v>
      </c>
      <c r="J1364" s="17">
        <v>17.176282612748</v>
      </c>
      <c r="K1364" s="17">
        <v>-97.798386644179999</v>
      </c>
      <c r="L1364" s="17" t="str">
        <f>HYPERLINK("https://maps.google.com/?q=17.176282612748,-97.79838664418", "🔗 Ver Mapa")</f>
        <v>🔗 Ver Mapa</v>
      </c>
    </row>
    <row r="1365" spans="1:12" ht="29" x14ac:dyDescent="0.35">
      <c r="A1365" s="5" t="s">
        <v>614</v>
      </c>
      <c r="B1365" s="5" t="s">
        <v>615</v>
      </c>
      <c r="C1365" s="5" t="s">
        <v>1082</v>
      </c>
      <c r="D1365" s="8" t="s">
        <v>61</v>
      </c>
      <c r="E1365" s="16" t="s">
        <v>73</v>
      </c>
      <c r="F1365" s="16" t="s">
        <v>83</v>
      </c>
      <c r="G1365" s="8" t="s">
        <v>1083</v>
      </c>
      <c r="H1365" s="8" t="s">
        <v>1084</v>
      </c>
      <c r="I1365" s="16" t="s">
        <v>138</v>
      </c>
      <c r="J1365" s="16">
        <v>17.241222490555</v>
      </c>
      <c r="K1365" s="16">
        <v>-97.44794602943</v>
      </c>
      <c r="L1365" s="16" t="str">
        <f>HYPERLINK("https://maps.google.com/?q=17.241222490555,-97.44794602943", "🔗 Ver Mapa")</f>
        <v>🔗 Ver Mapa</v>
      </c>
    </row>
    <row r="1366" spans="1:12" ht="29" x14ac:dyDescent="0.35">
      <c r="A1366" s="6" t="s">
        <v>614</v>
      </c>
      <c r="B1366" s="6" t="s">
        <v>615</v>
      </c>
      <c r="C1366" s="6" t="s">
        <v>1085</v>
      </c>
      <c r="D1366" s="11" t="s">
        <v>61</v>
      </c>
      <c r="E1366" s="17" t="s">
        <v>73</v>
      </c>
      <c r="F1366" s="17" t="s">
        <v>83</v>
      </c>
      <c r="G1366" s="11" t="s">
        <v>1086</v>
      </c>
      <c r="H1366" s="11" t="s">
        <v>1087</v>
      </c>
      <c r="I1366" s="17" t="s">
        <v>138</v>
      </c>
      <c r="J1366" s="17">
        <v>17.094904023270001</v>
      </c>
      <c r="K1366" s="17">
        <v>-97.659351681055</v>
      </c>
      <c r="L1366" s="17" t="str">
        <f>HYPERLINK("https://maps.google.com/?q=17.09490402327,-97.659351681055", "🔗 Ver Mapa")</f>
        <v>🔗 Ver Mapa</v>
      </c>
    </row>
    <row r="1367" spans="1:12" ht="29" x14ac:dyDescent="0.35">
      <c r="A1367" s="5" t="s">
        <v>614</v>
      </c>
      <c r="B1367" s="5" t="s">
        <v>615</v>
      </c>
      <c r="C1367" s="5" t="s">
        <v>1088</v>
      </c>
      <c r="D1367" s="8" t="s">
        <v>61</v>
      </c>
      <c r="E1367" s="16" t="s">
        <v>73</v>
      </c>
      <c r="F1367" s="16" t="s">
        <v>83</v>
      </c>
      <c r="G1367" s="8" t="s">
        <v>1089</v>
      </c>
      <c r="H1367" s="8" t="s">
        <v>1090</v>
      </c>
      <c r="I1367" s="16" t="s">
        <v>138</v>
      </c>
      <c r="J1367" s="16">
        <v>17.41758636678</v>
      </c>
      <c r="K1367" s="16">
        <v>-97.772240427260996</v>
      </c>
      <c r="L1367" s="16" t="str">
        <f>HYPERLINK("https://maps.google.com/?q=17.41758636678,-97.772240427261", "🔗 Ver Mapa")</f>
        <v>🔗 Ver Mapa</v>
      </c>
    </row>
    <row r="1368" spans="1:12" ht="29" x14ac:dyDescent="0.35">
      <c r="A1368" s="6" t="s">
        <v>614</v>
      </c>
      <c r="B1368" s="6" t="s">
        <v>615</v>
      </c>
      <c r="C1368" s="6" t="s">
        <v>1091</v>
      </c>
      <c r="D1368" s="11" t="s">
        <v>61</v>
      </c>
      <c r="E1368" s="17" t="s">
        <v>73</v>
      </c>
      <c r="F1368" s="17" t="s">
        <v>83</v>
      </c>
      <c r="G1368" s="11" t="s">
        <v>1092</v>
      </c>
      <c r="H1368" s="11" t="s">
        <v>1093</v>
      </c>
      <c r="I1368" s="17" t="s">
        <v>138</v>
      </c>
      <c r="J1368" s="17">
        <v>17.018186808726</v>
      </c>
      <c r="K1368" s="17">
        <v>-97.501147209821994</v>
      </c>
      <c r="L1368" s="17" t="str">
        <f>HYPERLINK("https://maps.google.com/?q=17.018186808726,-97.501147209822", "🔗 Ver Mapa")</f>
        <v>🔗 Ver Mapa</v>
      </c>
    </row>
    <row r="1369" spans="1:12" ht="29" x14ac:dyDescent="0.35">
      <c r="A1369" s="5" t="s">
        <v>614</v>
      </c>
      <c r="B1369" s="5" t="s">
        <v>615</v>
      </c>
      <c r="C1369" s="5" t="s">
        <v>1094</v>
      </c>
      <c r="D1369" s="8" t="s">
        <v>61</v>
      </c>
      <c r="E1369" s="16" t="s">
        <v>73</v>
      </c>
      <c r="F1369" s="16" t="s">
        <v>83</v>
      </c>
      <c r="G1369" s="8" t="s">
        <v>1095</v>
      </c>
      <c r="H1369" s="8" t="s">
        <v>1096</v>
      </c>
      <c r="I1369" s="16" t="s">
        <v>138</v>
      </c>
      <c r="J1369" s="16">
        <v>17.093736492881</v>
      </c>
      <c r="K1369" s="16">
        <v>-97.539735809508997</v>
      </c>
      <c r="L1369" s="16" t="str">
        <f>HYPERLINK("https://maps.google.com/?q=17.093736492881,-97.539735809509", "🔗 Ver Mapa")</f>
        <v>🔗 Ver Mapa</v>
      </c>
    </row>
    <row r="1370" spans="1:12" ht="29" x14ac:dyDescent="0.35">
      <c r="A1370" s="6" t="s">
        <v>614</v>
      </c>
      <c r="B1370" s="6" t="s">
        <v>615</v>
      </c>
      <c r="C1370" s="6" t="s">
        <v>1097</v>
      </c>
      <c r="D1370" s="11" t="s">
        <v>61</v>
      </c>
      <c r="E1370" s="17" t="s">
        <v>287</v>
      </c>
      <c r="F1370" s="17" t="s">
        <v>622</v>
      </c>
      <c r="G1370" s="11" t="s">
        <v>1098</v>
      </c>
      <c r="H1370" s="11" t="s">
        <v>1099</v>
      </c>
      <c r="I1370" s="17" t="s">
        <v>138</v>
      </c>
      <c r="J1370" s="17">
        <v>17.527767554930001</v>
      </c>
      <c r="K1370" s="17">
        <v>-96.064783906746001</v>
      </c>
      <c r="L1370" s="17" t="str">
        <f>HYPERLINK("https://maps.google.com/?q=17.52776755493,-96.064783906746", "🔗 Ver Mapa")</f>
        <v>🔗 Ver Mapa</v>
      </c>
    </row>
    <row r="1371" spans="1:12" ht="29" x14ac:dyDescent="0.35">
      <c r="A1371" s="5" t="s">
        <v>614</v>
      </c>
      <c r="B1371" s="5" t="s">
        <v>615</v>
      </c>
      <c r="C1371" s="5" t="s">
        <v>1100</v>
      </c>
      <c r="D1371" s="8" t="s">
        <v>61</v>
      </c>
      <c r="E1371" s="16" t="s">
        <v>287</v>
      </c>
      <c r="F1371" s="16" t="s">
        <v>622</v>
      </c>
      <c r="G1371" s="8" t="s">
        <v>1101</v>
      </c>
      <c r="H1371" s="8" t="s">
        <v>1102</v>
      </c>
      <c r="I1371" s="16" t="s">
        <v>138</v>
      </c>
      <c r="J1371" s="16">
        <v>17.327669367544001</v>
      </c>
      <c r="K1371" s="16">
        <v>-95.848645868717</v>
      </c>
      <c r="L1371" s="16" t="str">
        <f>HYPERLINK("https://maps.google.com/?q=17.327669367544,-95.848645868717", "🔗 Ver Mapa")</f>
        <v>🔗 Ver Mapa</v>
      </c>
    </row>
    <row r="1372" spans="1:12" ht="43.5" x14ac:dyDescent="0.35">
      <c r="A1372" s="6" t="s">
        <v>614</v>
      </c>
      <c r="B1372" s="6" t="s">
        <v>615</v>
      </c>
      <c r="C1372" s="6" t="s">
        <v>700</v>
      </c>
      <c r="D1372" s="11" t="s">
        <v>61</v>
      </c>
      <c r="E1372" s="17" t="s">
        <v>287</v>
      </c>
      <c r="F1372" s="17" t="s">
        <v>622</v>
      </c>
      <c r="G1372" s="11" t="s">
        <v>701</v>
      </c>
      <c r="H1372" s="11" t="s">
        <v>1103</v>
      </c>
      <c r="I1372" s="17" t="s">
        <v>138</v>
      </c>
      <c r="J1372" s="17">
        <v>17.618519616882001</v>
      </c>
      <c r="K1372" s="17">
        <v>-95.934491547291003</v>
      </c>
      <c r="L1372" s="17" t="str">
        <f>HYPERLINK("https://maps.google.com/?q=17.618519616882,-95.934491547291", "🔗 Ver Mapa")</f>
        <v>🔗 Ver Mapa</v>
      </c>
    </row>
    <row r="1373" spans="1:12" ht="29" x14ac:dyDescent="0.35">
      <c r="A1373" s="5" t="s">
        <v>614</v>
      </c>
      <c r="B1373" s="5" t="s">
        <v>615</v>
      </c>
      <c r="C1373" s="5" t="s">
        <v>621</v>
      </c>
      <c r="D1373" s="8" t="s">
        <v>61</v>
      </c>
      <c r="E1373" s="16" t="s">
        <v>287</v>
      </c>
      <c r="F1373" s="16" t="s">
        <v>622</v>
      </c>
      <c r="G1373" s="8" t="s">
        <v>623</v>
      </c>
      <c r="H1373" s="8" t="s">
        <v>624</v>
      </c>
      <c r="I1373" s="16" t="s">
        <v>138</v>
      </c>
      <c r="J1373" s="16">
        <v>17.439032299855999</v>
      </c>
      <c r="K1373" s="16">
        <v>-95.549354537365005</v>
      </c>
      <c r="L1373" s="16" t="str">
        <f>HYPERLINK("https://maps.google.com/?q=17.439032299856,-95.549354537365", "🔗 Ver Mapa")</f>
        <v>🔗 Ver Mapa</v>
      </c>
    </row>
    <row r="1374" spans="1:12" ht="29" x14ac:dyDescent="0.35">
      <c r="A1374" s="6" t="s">
        <v>614</v>
      </c>
      <c r="B1374" s="6" t="s">
        <v>615</v>
      </c>
      <c r="C1374" s="6" t="s">
        <v>1104</v>
      </c>
      <c r="D1374" s="11" t="s">
        <v>61</v>
      </c>
      <c r="E1374" s="17" t="s">
        <v>78</v>
      </c>
      <c r="F1374" s="17" t="s">
        <v>399</v>
      </c>
      <c r="G1374" s="11" t="s">
        <v>400</v>
      </c>
      <c r="H1374" s="11" t="s">
        <v>401</v>
      </c>
      <c r="I1374" s="17" t="s">
        <v>138</v>
      </c>
      <c r="J1374" s="17">
        <v>17.426286298691998</v>
      </c>
      <c r="K1374" s="17">
        <v>-96.538748184027</v>
      </c>
      <c r="L1374" s="17" t="str">
        <f>HYPERLINK("https://maps.google.com/?q=17.426286298692,-96.538748184027", "🔗 Ver Mapa")</f>
        <v>🔗 Ver Mapa</v>
      </c>
    </row>
    <row r="1375" spans="1:12" ht="29" x14ac:dyDescent="0.35">
      <c r="A1375" s="5" t="s">
        <v>614</v>
      </c>
      <c r="B1375" s="5" t="s">
        <v>615</v>
      </c>
      <c r="C1375" s="5" t="s">
        <v>1105</v>
      </c>
      <c r="D1375" s="8" t="s">
        <v>61</v>
      </c>
      <c r="E1375" s="16" t="s">
        <v>78</v>
      </c>
      <c r="F1375" s="16" t="s">
        <v>399</v>
      </c>
      <c r="G1375" s="8" t="s">
        <v>1106</v>
      </c>
      <c r="H1375" s="8" t="s">
        <v>1107</v>
      </c>
      <c r="I1375" s="16" t="s">
        <v>138</v>
      </c>
      <c r="J1375" s="16">
        <v>17.594999999999999</v>
      </c>
      <c r="K1375" s="16">
        <v>-96.636111</v>
      </c>
      <c r="L1375" s="16" t="str">
        <f>HYPERLINK("https://maps.google.com/?q=17.595,-96.636111", "🔗 Ver Mapa")</f>
        <v>🔗 Ver Mapa</v>
      </c>
    </row>
    <row r="1376" spans="1:12" ht="29" x14ac:dyDescent="0.35">
      <c r="A1376" s="6" t="s">
        <v>614</v>
      </c>
      <c r="B1376" s="6" t="s">
        <v>615</v>
      </c>
      <c r="C1376" s="6" t="s">
        <v>1108</v>
      </c>
      <c r="D1376" s="11" t="s">
        <v>61</v>
      </c>
      <c r="E1376" s="17" t="s">
        <v>78</v>
      </c>
      <c r="F1376" s="17" t="s">
        <v>399</v>
      </c>
      <c r="G1376" s="11" t="s">
        <v>1109</v>
      </c>
      <c r="H1376" s="11" t="s">
        <v>1110</v>
      </c>
      <c r="I1376" s="17" t="s">
        <v>138</v>
      </c>
      <c r="J1376" s="17">
        <v>17.264211550542001</v>
      </c>
      <c r="K1376" s="17">
        <v>-96.410847157711004</v>
      </c>
      <c r="L1376" s="17" t="str">
        <f>HYPERLINK("https://maps.google.com/?q=17.264211550542,-96.410847157711", "🔗 Ver Mapa")</f>
        <v>🔗 Ver Mapa</v>
      </c>
    </row>
    <row r="1377" spans="1:12" ht="29" x14ac:dyDescent="0.35">
      <c r="A1377" s="5" t="s">
        <v>614</v>
      </c>
      <c r="B1377" s="5" t="s">
        <v>615</v>
      </c>
      <c r="C1377" s="5" t="s">
        <v>794</v>
      </c>
      <c r="D1377" s="8" t="s">
        <v>61</v>
      </c>
      <c r="E1377" s="16" t="s">
        <v>78</v>
      </c>
      <c r="F1377" s="16" t="s">
        <v>90</v>
      </c>
      <c r="G1377" s="8" t="s">
        <v>530</v>
      </c>
      <c r="H1377" s="8" t="s">
        <v>1111</v>
      </c>
      <c r="I1377" s="16" t="s">
        <v>138</v>
      </c>
      <c r="J1377" s="16">
        <v>17.448526559891</v>
      </c>
      <c r="K1377" s="16">
        <v>-95.430623787697002</v>
      </c>
      <c r="L1377" s="16" t="str">
        <f>HYPERLINK("https://maps.google.com/?q=17.448526559891,-95.430623787697", "🔗 Ver Mapa")</f>
        <v>🔗 Ver Mapa</v>
      </c>
    </row>
    <row r="1378" spans="1:12" ht="43.5" x14ac:dyDescent="0.35">
      <c r="A1378" s="6" t="s">
        <v>614</v>
      </c>
      <c r="B1378" s="6" t="s">
        <v>615</v>
      </c>
      <c r="C1378" s="6" t="s">
        <v>925</v>
      </c>
      <c r="D1378" s="11" t="s">
        <v>61</v>
      </c>
      <c r="E1378" s="17" t="s">
        <v>78</v>
      </c>
      <c r="F1378" s="17" t="s">
        <v>90</v>
      </c>
      <c r="G1378" s="11" t="s">
        <v>926</v>
      </c>
      <c r="H1378" s="11" t="s">
        <v>927</v>
      </c>
      <c r="I1378" s="17" t="s">
        <v>138</v>
      </c>
      <c r="J1378" s="17">
        <v>17.216709779533002</v>
      </c>
      <c r="K1378" s="17">
        <v>-95.441364642853003</v>
      </c>
      <c r="L1378" s="17" t="str">
        <f>HYPERLINK("https://maps.google.com/?q=17.216709779533,-95.441364642853", "🔗 Ver Mapa")</f>
        <v>🔗 Ver Mapa</v>
      </c>
    </row>
    <row r="1379" spans="1:12" ht="29" x14ac:dyDescent="0.35">
      <c r="A1379" s="5" t="s">
        <v>614</v>
      </c>
      <c r="B1379" s="5" t="s">
        <v>615</v>
      </c>
      <c r="C1379" s="5" t="s">
        <v>671</v>
      </c>
      <c r="D1379" s="8" t="s">
        <v>61</v>
      </c>
      <c r="E1379" s="16" t="s">
        <v>78</v>
      </c>
      <c r="F1379" s="16" t="s">
        <v>90</v>
      </c>
      <c r="G1379" s="8" t="s">
        <v>672</v>
      </c>
      <c r="H1379" s="8" t="s">
        <v>1112</v>
      </c>
      <c r="I1379" s="16" t="s">
        <v>138</v>
      </c>
      <c r="J1379" s="16">
        <v>16.938058565856</v>
      </c>
      <c r="K1379" s="16">
        <v>-95.669141127646995</v>
      </c>
      <c r="L1379" s="16" t="str">
        <f>HYPERLINK("https://maps.google.com/?q=16.938058565856,-95.669141127647", "🔗 Ver Mapa")</f>
        <v>🔗 Ver Mapa</v>
      </c>
    </row>
    <row r="1380" spans="1:12" ht="29" x14ac:dyDescent="0.35">
      <c r="A1380" s="6" t="s">
        <v>614</v>
      </c>
      <c r="B1380" s="6" t="s">
        <v>615</v>
      </c>
      <c r="C1380" s="6" t="s">
        <v>1113</v>
      </c>
      <c r="D1380" s="11" t="s">
        <v>61</v>
      </c>
      <c r="E1380" s="17" t="s">
        <v>78</v>
      </c>
      <c r="F1380" s="17" t="s">
        <v>90</v>
      </c>
      <c r="G1380" s="11" t="s">
        <v>1114</v>
      </c>
      <c r="H1380" s="11" t="s">
        <v>1115</v>
      </c>
      <c r="I1380" s="17" t="s">
        <v>138</v>
      </c>
      <c r="J1380" s="17">
        <v>17.005940727003001</v>
      </c>
      <c r="K1380" s="17">
        <v>-96.157471445438006</v>
      </c>
      <c r="L1380" s="17" t="str">
        <f>HYPERLINK("https://maps.google.com/?q=17.005940727003,-96.157471445438", "🔗 Ver Mapa")</f>
        <v>🔗 Ver Mapa</v>
      </c>
    </row>
    <row r="1381" spans="1:12" ht="43.5" x14ac:dyDescent="0.35">
      <c r="A1381" s="5" t="s">
        <v>614</v>
      </c>
      <c r="B1381" s="5" t="s">
        <v>615</v>
      </c>
      <c r="C1381" s="5" t="s">
        <v>1116</v>
      </c>
      <c r="D1381" s="8" t="s">
        <v>61</v>
      </c>
      <c r="E1381" s="16" t="s">
        <v>78</v>
      </c>
      <c r="F1381" s="16" t="s">
        <v>90</v>
      </c>
      <c r="G1381" s="8" t="s">
        <v>1117</v>
      </c>
      <c r="H1381" s="8" t="s">
        <v>1118</v>
      </c>
      <c r="I1381" s="16" t="s">
        <v>138</v>
      </c>
      <c r="J1381" s="16">
        <v>17.053332999999999</v>
      </c>
      <c r="K1381" s="16">
        <v>-95.891389000000004</v>
      </c>
      <c r="L1381" s="16" t="str">
        <f>HYPERLINK("https://maps.google.com/?q=17.053333,-95.891389", "🔗 Ver Mapa")</f>
        <v>🔗 Ver Mapa</v>
      </c>
    </row>
    <row r="1382" spans="1:12" ht="43.5" x14ac:dyDescent="0.35">
      <c r="A1382" s="6" t="s">
        <v>614</v>
      </c>
      <c r="B1382" s="6" t="s">
        <v>615</v>
      </c>
      <c r="C1382" s="6" t="s">
        <v>1119</v>
      </c>
      <c r="D1382" s="11" t="s">
        <v>61</v>
      </c>
      <c r="E1382" s="17" t="s">
        <v>78</v>
      </c>
      <c r="F1382" s="17" t="s">
        <v>90</v>
      </c>
      <c r="G1382" s="11" t="s">
        <v>1120</v>
      </c>
      <c r="H1382" s="11" t="s">
        <v>1121</v>
      </c>
      <c r="I1382" s="17" t="s">
        <v>138</v>
      </c>
      <c r="J1382" s="17">
        <v>17.173534874788999</v>
      </c>
      <c r="K1382" s="17">
        <v>-95.914698642852997</v>
      </c>
      <c r="L1382" s="17" t="str">
        <f>HYPERLINK("https://maps.google.com/?q=17.173534874789,-95.914698642853", "🔗 Ver Mapa")</f>
        <v>🔗 Ver Mapa</v>
      </c>
    </row>
    <row r="1383" spans="1:12" ht="29" x14ac:dyDescent="0.35">
      <c r="A1383" s="5" t="s">
        <v>614</v>
      </c>
      <c r="B1383" s="5" t="s">
        <v>615</v>
      </c>
      <c r="C1383" s="5" t="s">
        <v>931</v>
      </c>
      <c r="D1383" s="8" t="s">
        <v>61</v>
      </c>
      <c r="E1383" s="16" t="s">
        <v>78</v>
      </c>
      <c r="F1383" s="16" t="s">
        <v>90</v>
      </c>
      <c r="G1383" s="8" t="s">
        <v>109</v>
      </c>
      <c r="H1383" s="8" t="s">
        <v>1122</v>
      </c>
      <c r="I1383" s="16" t="s">
        <v>138</v>
      </c>
      <c r="J1383" s="16">
        <v>16.965206155291</v>
      </c>
      <c r="K1383" s="16">
        <v>-96.024005529747001</v>
      </c>
      <c r="L1383" s="16" t="str">
        <f>HYPERLINK("https://maps.google.com/?q=16.965206155291,-96.024005529747", "🔗 Ver Mapa")</f>
        <v>🔗 Ver Mapa</v>
      </c>
    </row>
    <row r="1384" spans="1:12" ht="43.5" x14ac:dyDescent="0.35">
      <c r="A1384" s="6" t="s">
        <v>614</v>
      </c>
      <c r="B1384" s="6" t="s">
        <v>615</v>
      </c>
      <c r="C1384" s="6" t="s">
        <v>1123</v>
      </c>
      <c r="D1384" s="11" t="s">
        <v>61</v>
      </c>
      <c r="E1384" s="17" t="s">
        <v>78</v>
      </c>
      <c r="F1384" s="17" t="s">
        <v>90</v>
      </c>
      <c r="G1384" s="11" t="s">
        <v>1124</v>
      </c>
      <c r="H1384" s="11" t="s">
        <v>1125</v>
      </c>
      <c r="I1384" s="17" t="s">
        <v>138</v>
      </c>
      <c r="J1384" s="17">
        <v>17.057199891438</v>
      </c>
      <c r="K1384" s="17">
        <v>-96.061959890181996</v>
      </c>
      <c r="L1384" s="17" t="str">
        <f>HYPERLINK("https://maps.google.com/?q=17.057199891438,-96.061959890182", "🔗 Ver Mapa")</f>
        <v>🔗 Ver Mapa</v>
      </c>
    </row>
    <row r="1385" spans="1:12" ht="29" x14ac:dyDescent="0.35">
      <c r="A1385" s="5" t="s">
        <v>614</v>
      </c>
      <c r="B1385" s="5" t="s">
        <v>615</v>
      </c>
      <c r="C1385" s="5" t="s">
        <v>1126</v>
      </c>
      <c r="D1385" s="8" t="s">
        <v>61</v>
      </c>
      <c r="E1385" s="16" t="s">
        <v>78</v>
      </c>
      <c r="F1385" s="16" t="s">
        <v>90</v>
      </c>
      <c r="G1385" s="8" t="s">
        <v>1127</v>
      </c>
      <c r="H1385" s="8" t="s">
        <v>1128</v>
      </c>
      <c r="I1385" s="16" t="s">
        <v>138</v>
      </c>
      <c r="J1385" s="16">
        <v>17.280161236727999</v>
      </c>
      <c r="K1385" s="16">
        <v>-96.012183499336004</v>
      </c>
      <c r="L1385" s="16" t="str">
        <f>HYPERLINK("https://maps.google.com/?q=17.280161236728,-96.012183499336", "🔗 Ver Mapa")</f>
        <v>🔗 Ver Mapa</v>
      </c>
    </row>
    <row r="1386" spans="1:12" ht="43.5" x14ac:dyDescent="0.35">
      <c r="A1386" s="6" t="s">
        <v>614</v>
      </c>
      <c r="B1386" s="6" t="s">
        <v>615</v>
      </c>
      <c r="C1386" s="6" t="s">
        <v>703</v>
      </c>
      <c r="D1386" s="11" t="s">
        <v>61</v>
      </c>
      <c r="E1386" s="17" t="s">
        <v>79</v>
      </c>
      <c r="F1386" s="17" t="s">
        <v>195</v>
      </c>
      <c r="G1386" s="11" t="s">
        <v>236</v>
      </c>
      <c r="H1386" s="11" t="s">
        <v>1129</v>
      </c>
      <c r="I1386" s="17" t="s">
        <v>138</v>
      </c>
      <c r="J1386" s="17">
        <v>16.316398738869999</v>
      </c>
      <c r="K1386" s="17">
        <v>-96.579892508567994</v>
      </c>
      <c r="L1386" s="17" t="str">
        <f>HYPERLINK("https://maps.google.com/?q=16.31639873887,-96.579892508568", "🔗 Ver Mapa")</f>
        <v>🔗 Ver Mapa</v>
      </c>
    </row>
    <row r="1387" spans="1:12" ht="29" x14ac:dyDescent="0.35">
      <c r="A1387" s="5" t="s">
        <v>614</v>
      </c>
      <c r="B1387" s="5" t="s">
        <v>615</v>
      </c>
      <c r="C1387" s="5" t="s">
        <v>936</v>
      </c>
      <c r="D1387" s="8" t="s">
        <v>61</v>
      </c>
      <c r="E1387" s="16" t="s">
        <v>79</v>
      </c>
      <c r="F1387" s="16" t="s">
        <v>195</v>
      </c>
      <c r="G1387" s="8" t="s">
        <v>937</v>
      </c>
      <c r="H1387" s="8" t="s">
        <v>1130</v>
      </c>
      <c r="I1387" s="16" t="s">
        <v>138</v>
      </c>
      <c r="J1387" s="16">
        <v>16.323662218814999</v>
      </c>
      <c r="K1387" s="16">
        <v>-96.412596972765002</v>
      </c>
      <c r="L1387" s="16" t="str">
        <f>HYPERLINK("https://maps.google.com/?q=16.323662218815,-96.412596972765", "🔗 Ver Mapa")</f>
        <v>🔗 Ver Mapa</v>
      </c>
    </row>
    <row r="1388" spans="1:12" ht="43.5" x14ac:dyDescent="0.35">
      <c r="A1388" s="6" t="s">
        <v>614</v>
      </c>
      <c r="B1388" s="6" t="s">
        <v>615</v>
      </c>
      <c r="C1388" s="6" t="s">
        <v>939</v>
      </c>
      <c r="D1388" s="11" t="s">
        <v>61</v>
      </c>
      <c r="E1388" s="17" t="s">
        <v>79</v>
      </c>
      <c r="F1388" s="17" t="s">
        <v>195</v>
      </c>
      <c r="G1388" s="11" t="s">
        <v>940</v>
      </c>
      <c r="H1388" s="11" t="s">
        <v>941</v>
      </c>
      <c r="I1388" s="17" t="s">
        <v>138</v>
      </c>
      <c r="J1388" s="17">
        <v>16.351396683358999</v>
      </c>
      <c r="K1388" s="17">
        <v>-96.378688784060998</v>
      </c>
      <c r="L1388" s="17" t="str">
        <f>HYPERLINK("https://maps.google.com/?q=16.351396683359,-96.378688784061", "🔗 Ver Mapa")</f>
        <v>🔗 Ver Mapa</v>
      </c>
    </row>
    <row r="1389" spans="1:12" ht="29" x14ac:dyDescent="0.35">
      <c r="A1389" s="5" t="s">
        <v>614</v>
      </c>
      <c r="B1389" s="5" t="s">
        <v>615</v>
      </c>
      <c r="C1389" s="5" t="s">
        <v>942</v>
      </c>
      <c r="D1389" s="8" t="s">
        <v>61</v>
      </c>
      <c r="E1389" s="16" t="s">
        <v>79</v>
      </c>
      <c r="F1389" s="16" t="s">
        <v>195</v>
      </c>
      <c r="G1389" s="8" t="s">
        <v>943</v>
      </c>
      <c r="H1389" s="8" t="s">
        <v>1131</v>
      </c>
      <c r="I1389" s="16" t="s">
        <v>138</v>
      </c>
      <c r="J1389" s="16">
        <v>16.099878880468999</v>
      </c>
      <c r="K1389" s="16">
        <v>-96.194932770674001</v>
      </c>
      <c r="L1389" s="16" t="str">
        <f>HYPERLINK("https://maps.google.com/?q=16.099878880469,-96.194932770674", "🔗 Ver Mapa")</f>
        <v>🔗 Ver Mapa</v>
      </c>
    </row>
    <row r="1390" spans="1:12" ht="29" x14ac:dyDescent="0.35">
      <c r="A1390" s="6" t="s">
        <v>614</v>
      </c>
      <c r="B1390" s="6" t="s">
        <v>615</v>
      </c>
      <c r="C1390" s="6" t="s">
        <v>1132</v>
      </c>
      <c r="D1390" s="11" t="s">
        <v>61</v>
      </c>
      <c r="E1390" s="17" t="s">
        <v>79</v>
      </c>
      <c r="F1390" s="17" t="s">
        <v>195</v>
      </c>
      <c r="G1390" s="11" t="s">
        <v>1133</v>
      </c>
      <c r="H1390" s="11" t="s">
        <v>1134</v>
      </c>
      <c r="I1390" s="17" t="s">
        <v>138</v>
      </c>
      <c r="J1390" s="17">
        <v>16.087108604209</v>
      </c>
      <c r="K1390" s="17">
        <v>-96.246411798777004</v>
      </c>
      <c r="L1390" s="17" t="str">
        <f>HYPERLINK("https://maps.google.com/?q=16.087108604209,-96.246411798777", "🔗 Ver Mapa")</f>
        <v>🔗 Ver Mapa</v>
      </c>
    </row>
    <row r="1391" spans="1:12" ht="29" x14ac:dyDescent="0.35">
      <c r="A1391" s="5" t="s">
        <v>614</v>
      </c>
      <c r="B1391" s="5" t="s">
        <v>615</v>
      </c>
      <c r="C1391" s="5" t="s">
        <v>1135</v>
      </c>
      <c r="D1391" s="8" t="s">
        <v>61</v>
      </c>
      <c r="E1391" s="16" t="s">
        <v>79</v>
      </c>
      <c r="F1391" s="16" t="s">
        <v>195</v>
      </c>
      <c r="G1391" s="8" t="s">
        <v>1136</v>
      </c>
      <c r="H1391" s="8" t="s">
        <v>1137</v>
      </c>
      <c r="I1391" s="16" t="s">
        <v>138</v>
      </c>
      <c r="J1391" s="16">
        <v>16.192968609306</v>
      </c>
      <c r="K1391" s="16">
        <v>-96.697593877315995</v>
      </c>
      <c r="L1391" s="16" t="str">
        <f>HYPERLINK("https://maps.google.com/?q=16.192968609306,-96.697593877316", "🔗 Ver Mapa")</f>
        <v>🔗 Ver Mapa</v>
      </c>
    </row>
    <row r="1392" spans="1:12" ht="29" x14ac:dyDescent="0.35">
      <c r="A1392" s="6" t="s">
        <v>614</v>
      </c>
      <c r="B1392" s="6" t="s">
        <v>615</v>
      </c>
      <c r="C1392" s="6" t="s">
        <v>1138</v>
      </c>
      <c r="D1392" s="11" t="s">
        <v>61</v>
      </c>
      <c r="E1392" s="17" t="s">
        <v>79</v>
      </c>
      <c r="F1392" s="17" t="s">
        <v>195</v>
      </c>
      <c r="G1392" s="11" t="s">
        <v>1139</v>
      </c>
      <c r="H1392" s="11" t="s">
        <v>1140</v>
      </c>
      <c r="I1392" s="17" t="s">
        <v>138</v>
      </c>
      <c r="J1392" s="17">
        <v>16.144667952347</v>
      </c>
      <c r="K1392" s="17">
        <v>-96.343658126953002</v>
      </c>
      <c r="L1392" s="17" t="str">
        <f>HYPERLINK("https://maps.google.com/?q=16.144667952347,-96.343658126953", "🔗 Ver Mapa")</f>
        <v>🔗 Ver Mapa</v>
      </c>
    </row>
    <row r="1393" spans="1:12" ht="29" x14ac:dyDescent="0.35">
      <c r="A1393" s="5" t="s">
        <v>614</v>
      </c>
      <c r="B1393" s="5" t="s">
        <v>615</v>
      </c>
      <c r="C1393" s="5" t="s">
        <v>951</v>
      </c>
      <c r="D1393" s="8" t="s">
        <v>61</v>
      </c>
      <c r="E1393" s="16" t="s">
        <v>79</v>
      </c>
      <c r="F1393" s="16" t="s">
        <v>195</v>
      </c>
      <c r="G1393" s="8" t="s">
        <v>952</v>
      </c>
      <c r="H1393" s="8" t="s">
        <v>1141</v>
      </c>
      <c r="I1393" s="16" t="s">
        <v>138</v>
      </c>
      <c r="J1393" s="16">
        <v>16.014286298134</v>
      </c>
      <c r="K1393" s="16">
        <v>-96.278465210975995</v>
      </c>
      <c r="L1393" s="16" t="str">
        <f>HYPERLINK("https://maps.google.com/?q=16.014286298134,-96.278465210976", "🔗 Ver Mapa")</f>
        <v>🔗 Ver Mapa</v>
      </c>
    </row>
    <row r="1394" spans="1:12" ht="43.5" x14ac:dyDescent="0.35">
      <c r="A1394" s="6" t="s">
        <v>614</v>
      </c>
      <c r="B1394" s="6" t="s">
        <v>615</v>
      </c>
      <c r="C1394" s="6" t="s">
        <v>1142</v>
      </c>
      <c r="D1394" s="11" t="s">
        <v>61</v>
      </c>
      <c r="E1394" s="17" t="s">
        <v>79</v>
      </c>
      <c r="F1394" s="17" t="s">
        <v>390</v>
      </c>
      <c r="G1394" s="11" t="s">
        <v>796</v>
      </c>
      <c r="H1394" s="11" t="s">
        <v>1143</v>
      </c>
      <c r="I1394" s="17" t="s">
        <v>138</v>
      </c>
      <c r="J1394" s="17">
        <v>17.040972966643</v>
      </c>
      <c r="K1394" s="17">
        <v>-97.944720484794999</v>
      </c>
      <c r="L1394" s="17" t="str">
        <f>HYPERLINK("https://maps.google.com/?q=17.040972966643,-97.944720484795", "🔗 Ver Mapa")</f>
        <v>🔗 Ver Mapa</v>
      </c>
    </row>
    <row r="1395" spans="1:12" ht="29" x14ac:dyDescent="0.35">
      <c r="A1395" s="5" t="s">
        <v>614</v>
      </c>
      <c r="B1395" s="5" t="s">
        <v>615</v>
      </c>
      <c r="C1395" s="5" t="s">
        <v>1144</v>
      </c>
      <c r="D1395" s="8" t="s">
        <v>61</v>
      </c>
      <c r="E1395" s="16" t="s">
        <v>79</v>
      </c>
      <c r="F1395" s="16" t="s">
        <v>390</v>
      </c>
      <c r="G1395" s="8" t="s">
        <v>1145</v>
      </c>
      <c r="H1395" s="8" t="s">
        <v>1146</v>
      </c>
      <c r="I1395" s="16" t="s">
        <v>138</v>
      </c>
      <c r="J1395" s="16">
        <v>16.949662084389999</v>
      </c>
      <c r="K1395" s="16">
        <v>-97.984430588954993</v>
      </c>
      <c r="L1395" s="16" t="str">
        <f>HYPERLINK("https://maps.google.com/?q=16.94966208439,-97.984430588955", "🔗 Ver Mapa")</f>
        <v>🔗 Ver Mapa</v>
      </c>
    </row>
    <row r="1396" spans="1:12" ht="43.5" x14ac:dyDescent="0.35">
      <c r="A1396" s="6" t="s">
        <v>614</v>
      </c>
      <c r="B1396" s="6" t="s">
        <v>615</v>
      </c>
      <c r="C1396" s="6" t="s">
        <v>1147</v>
      </c>
      <c r="D1396" s="11" t="s">
        <v>61</v>
      </c>
      <c r="E1396" s="17" t="s">
        <v>79</v>
      </c>
      <c r="F1396" s="17" t="s">
        <v>390</v>
      </c>
      <c r="G1396" s="11" t="s">
        <v>1148</v>
      </c>
      <c r="H1396" s="11" t="s">
        <v>1149</v>
      </c>
      <c r="I1396" s="17" t="s">
        <v>138</v>
      </c>
      <c r="J1396" s="17">
        <v>16.803559646351001</v>
      </c>
      <c r="K1396" s="17">
        <v>-97.784128107968996</v>
      </c>
      <c r="L1396" s="17" t="str">
        <f>HYPERLINK("https://maps.google.com/?q=16.803559646351,-97.784128107969", "🔗 Ver Mapa")</f>
        <v>🔗 Ver Mapa</v>
      </c>
    </row>
    <row r="1397" spans="1:12" ht="29" x14ac:dyDescent="0.35">
      <c r="A1397" s="5" t="s">
        <v>614</v>
      </c>
      <c r="B1397" s="5" t="s">
        <v>615</v>
      </c>
      <c r="C1397" s="5" t="s">
        <v>1150</v>
      </c>
      <c r="D1397" s="8" t="s">
        <v>61</v>
      </c>
      <c r="E1397" s="16" t="s">
        <v>79</v>
      </c>
      <c r="F1397" s="16" t="s">
        <v>390</v>
      </c>
      <c r="G1397" s="8" t="s">
        <v>391</v>
      </c>
      <c r="H1397" s="8" t="s">
        <v>1151</v>
      </c>
      <c r="I1397" s="16" t="s">
        <v>138</v>
      </c>
      <c r="J1397" s="16">
        <v>16.740285705613001</v>
      </c>
      <c r="K1397" s="16">
        <v>-97.754907072422</v>
      </c>
      <c r="L1397" s="16" t="str">
        <f>HYPERLINK("https://maps.google.com/?q=16.740285705613,-97.754907072422", "🔗 Ver Mapa")</f>
        <v>🔗 Ver Mapa</v>
      </c>
    </row>
    <row r="1398" spans="1:12" ht="29" x14ac:dyDescent="0.35">
      <c r="A1398" s="6" t="s">
        <v>614</v>
      </c>
      <c r="B1398" s="6" t="s">
        <v>615</v>
      </c>
      <c r="C1398" s="6" t="s">
        <v>1152</v>
      </c>
      <c r="D1398" s="11" t="s">
        <v>61</v>
      </c>
      <c r="E1398" s="17" t="s">
        <v>79</v>
      </c>
      <c r="F1398" s="17" t="s">
        <v>390</v>
      </c>
      <c r="G1398" s="11" t="s">
        <v>1153</v>
      </c>
      <c r="H1398" s="11" t="s">
        <v>1154</v>
      </c>
      <c r="I1398" s="17" t="s">
        <v>138</v>
      </c>
      <c r="J1398" s="17">
        <v>16.640676237579999</v>
      </c>
      <c r="K1398" s="17">
        <v>-98.033945326389002</v>
      </c>
      <c r="L1398" s="17" t="str">
        <f>HYPERLINK("https://maps.google.com/?q=16.64067623758,-98.033945326389", "🔗 Ver Mapa")</f>
        <v>🔗 Ver Mapa</v>
      </c>
    </row>
    <row r="1399" spans="1:12" ht="29" x14ac:dyDescent="0.35">
      <c r="A1399" s="5" t="s">
        <v>614</v>
      </c>
      <c r="B1399" s="5" t="s">
        <v>615</v>
      </c>
      <c r="C1399" s="5" t="s">
        <v>933</v>
      </c>
      <c r="D1399" s="8" t="s">
        <v>61</v>
      </c>
      <c r="E1399" s="16" t="s">
        <v>79</v>
      </c>
      <c r="F1399" s="16" t="s">
        <v>800</v>
      </c>
      <c r="G1399" s="8" t="s">
        <v>934</v>
      </c>
      <c r="H1399" s="8" t="s">
        <v>1155</v>
      </c>
      <c r="I1399" s="16" t="s">
        <v>138</v>
      </c>
      <c r="J1399" s="16">
        <v>16.184011686215001</v>
      </c>
      <c r="K1399" s="16">
        <v>-95.922813818454998</v>
      </c>
      <c r="L1399" s="16" t="str">
        <f>HYPERLINK("https://maps.google.com/?q=16.184011686215,-95.922813818455", "🔗 Ver Mapa")</f>
        <v>🔗 Ver Mapa</v>
      </c>
    </row>
    <row r="1400" spans="1:12" ht="43.5" x14ac:dyDescent="0.35">
      <c r="A1400" s="6" t="s">
        <v>614</v>
      </c>
      <c r="B1400" s="6" t="s">
        <v>615</v>
      </c>
      <c r="C1400" s="6" t="s">
        <v>1156</v>
      </c>
      <c r="D1400" s="11" t="s">
        <v>61</v>
      </c>
      <c r="E1400" s="17" t="s">
        <v>79</v>
      </c>
      <c r="F1400" s="17" t="s">
        <v>800</v>
      </c>
      <c r="G1400" s="11" t="s">
        <v>1157</v>
      </c>
      <c r="H1400" s="11" t="s">
        <v>1158</v>
      </c>
      <c r="I1400" s="17" t="s">
        <v>138</v>
      </c>
      <c r="J1400" s="17">
        <v>16.284093569486998</v>
      </c>
      <c r="K1400" s="17">
        <v>-95.875363047955005</v>
      </c>
      <c r="L1400" s="17" t="str">
        <f>HYPERLINK("https://maps.google.com/?q=16.284093569487,-95.875363047955", "🔗 Ver Mapa")</f>
        <v>🔗 Ver Mapa</v>
      </c>
    </row>
    <row r="1401" spans="1:12" ht="58" x14ac:dyDescent="0.35">
      <c r="A1401" s="5" t="s">
        <v>6</v>
      </c>
      <c r="B1401" s="5" t="s">
        <v>19</v>
      </c>
      <c r="C1401" s="5" t="s">
        <v>1159</v>
      </c>
      <c r="D1401" s="8" t="s">
        <v>1160</v>
      </c>
      <c r="E1401" s="16" t="s">
        <v>287</v>
      </c>
      <c r="F1401" s="16" t="s">
        <v>288</v>
      </c>
      <c r="G1401" s="8" t="s">
        <v>718</v>
      </c>
      <c r="H1401" s="8" t="s">
        <v>1161</v>
      </c>
      <c r="I1401" s="16" t="s">
        <v>138</v>
      </c>
      <c r="J1401" s="16">
        <v>18.09497</v>
      </c>
      <c r="K1401" s="16">
        <v>-95.941896400000005</v>
      </c>
      <c r="L1401" s="16" t="str">
        <f>HYPERLINK("https://maps.google.com/?q=18.09497,-95.9418964", "🔗 Ver Mapa")</f>
        <v>🔗 Ver Mapa</v>
      </c>
    </row>
    <row r="1402" spans="1:12" ht="43.5" x14ac:dyDescent="0.35">
      <c r="A1402" s="6" t="s">
        <v>6</v>
      </c>
      <c r="B1402" s="6" t="s">
        <v>19</v>
      </c>
      <c r="C1402" s="6" t="s">
        <v>1162</v>
      </c>
      <c r="D1402" s="11" t="s">
        <v>66</v>
      </c>
      <c r="E1402" s="17" t="s">
        <v>75</v>
      </c>
      <c r="F1402" s="17" t="s">
        <v>86</v>
      </c>
      <c r="G1402" s="11" t="s">
        <v>104</v>
      </c>
      <c r="H1402" s="11" t="s">
        <v>126</v>
      </c>
      <c r="I1402" s="17" t="s">
        <v>138</v>
      </c>
      <c r="J1402" s="17">
        <v>16.909980699999998</v>
      </c>
      <c r="K1402" s="17">
        <v>-96.720372999999995</v>
      </c>
      <c r="L1402" s="17" t="str">
        <f>HYPERLINK("https://maps.google.com/?q=16.9099807,-96.720373", "🔗 Ver Mapa")</f>
        <v>🔗 Ver Mapa</v>
      </c>
    </row>
    <row r="1403" spans="1:12" ht="43.5" x14ac:dyDescent="0.35">
      <c r="A1403" s="5" t="s">
        <v>6</v>
      </c>
      <c r="B1403" s="5" t="s">
        <v>19</v>
      </c>
      <c r="C1403" s="5" t="s">
        <v>1163</v>
      </c>
      <c r="D1403" s="8" t="s">
        <v>66</v>
      </c>
      <c r="E1403" s="16" t="s">
        <v>75</v>
      </c>
      <c r="F1403" s="16" t="s">
        <v>86</v>
      </c>
      <c r="G1403" s="8" t="s">
        <v>103</v>
      </c>
      <c r="H1403" s="8" t="s">
        <v>125</v>
      </c>
      <c r="I1403" s="16" t="s">
        <v>138</v>
      </c>
      <c r="J1403" s="16">
        <v>17.051589</v>
      </c>
      <c r="K1403" s="16">
        <v>-96.731160500000001</v>
      </c>
      <c r="L1403" s="16" t="str">
        <f>HYPERLINK("https://maps.google.com/?q=17.051589,-96.7311605", "🔗 Ver Mapa")</f>
        <v>🔗 Ver Mapa</v>
      </c>
    </row>
    <row r="1404" spans="1:12" ht="43.5" x14ac:dyDescent="0.35">
      <c r="A1404" s="6" t="s">
        <v>6</v>
      </c>
      <c r="B1404" s="6" t="s">
        <v>19</v>
      </c>
      <c r="C1404" s="6" t="s">
        <v>1164</v>
      </c>
      <c r="D1404" s="11" t="s">
        <v>66</v>
      </c>
      <c r="E1404" s="17" t="s">
        <v>75</v>
      </c>
      <c r="F1404" s="17" t="s">
        <v>86</v>
      </c>
      <c r="G1404" s="11" t="s">
        <v>103</v>
      </c>
      <c r="H1404" s="11" t="s">
        <v>125</v>
      </c>
      <c r="I1404" s="17" t="s">
        <v>138</v>
      </c>
      <c r="J1404" s="17">
        <v>17.051589</v>
      </c>
      <c r="K1404" s="17">
        <v>-96.731160500000001</v>
      </c>
      <c r="L1404" s="17" t="str">
        <f>HYPERLINK("https://maps.google.com/?q=17.051589,-96.7311605", "🔗 Ver Mapa")</f>
        <v>🔗 Ver Mapa</v>
      </c>
    </row>
    <row r="1405" spans="1:12" ht="43.5" x14ac:dyDescent="0.35">
      <c r="A1405" s="5" t="s">
        <v>6</v>
      </c>
      <c r="B1405" s="5" t="s">
        <v>19</v>
      </c>
      <c r="C1405" s="5" t="s">
        <v>1165</v>
      </c>
      <c r="D1405" s="8" t="s">
        <v>66</v>
      </c>
      <c r="E1405" s="16" t="s">
        <v>75</v>
      </c>
      <c r="F1405" s="16" t="s">
        <v>84</v>
      </c>
      <c r="G1405" s="8" t="s">
        <v>775</v>
      </c>
      <c r="H1405" s="8" t="s">
        <v>1166</v>
      </c>
      <c r="I1405" s="16" t="s">
        <v>138</v>
      </c>
      <c r="J1405" s="16">
        <v>16.919082207500001</v>
      </c>
      <c r="K1405" s="16">
        <v>-96.410003829999994</v>
      </c>
      <c r="L1405" s="16" t="str">
        <f>HYPERLINK("https://maps.google.com/?q=16.9190822075,-96.41000383", "🔗 Ver Mapa")</f>
        <v>🔗 Ver Mapa</v>
      </c>
    </row>
    <row r="1406" spans="1:12" ht="43.5" x14ac:dyDescent="0.35">
      <c r="A1406" s="6" t="s">
        <v>6</v>
      </c>
      <c r="B1406" s="6" t="s">
        <v>19</v>
      </c>
      <c r="C1406" s="6" t="s">
        <v>1167</v>
      </c>
      <c r="D1406" s="11" t="s">
        <v>66</v>
      </c>
      <c r="E1406" s="17" t="s">
        <v>75</v>
      </c>
      <c r="F1406" s="17" t="s">
        <v>86</v>
      </c>
      <c r="G1406" s="11" t="s">
        <v>112</v>
      </c>
      <c r="H1406" s="11" t="s">
        <v>1168</v>
      </c>
      <c r="I1406" s="17" t="s">
        <v>138</v>
      </c>
      <c r="J1406" s="17">
        <v>17.011278000000001</v>
      </c>
      <c r="K1406" s="17">
        <v>-96.718764699999994</v>
      </c>
      <c r="L1406" s="17" t="str">
        <f>HYPERLINK("https://maps.google.com/?q=17.011278,-96.7187647", "🔗 Ver Mapa")</f>
        <v>🔗 Ver Mapa</v>
      </c>
    </row>
    <row r="1407" spans="1:12" ht="43.5" x14ac:dyDescent="0.35">
      <c r="A1407" s="5" t="s">
        <v>6</v>
      </c>
      <c r="B1407" s="5" t="s">
        <v>19</v>
      </c>
      <c r="C1407" s="5" t="s">
        <v>1169</v>
      </c>
      <c r="D1407" s="8" t="s">
        <v>66</v>
      </c>
      <c r="E1407" s="16" t="s">
        <v>75</v>
      </c>
      <c r="F1407" s="16" t="s">
        <v>86</v>
      </c>
      <c r="G1407" s="8" t="s">
        <v>104</v>
      </c>
      <c r="H1407" s="8" t="s">
        <v>126</v>
      </c>
      <c r="I1407" s="16" t="s">
        <v>138</v>
      </c>
      <c r="J1407" s="16">
        <v>16.909980699999998</v>
      </c>
      <c r="K1407" s="16">
        <v>-96.720372999999995</v>
      </c>
      <c r="L1407" s="16" t="str">
        <f>HYPERLINK("https://maps.google.com/?q=16.9099807,-96.720373", "🔗 Ver Mapa")</f>
        <v>🔗 Ver Mapa</v>
      </c>
    </row>
    <row r="1408" spans="1:12" ht="43.5" x14ac:dyDescent="0.35">
      <c r="A1408" s="6" t="s">
        <v>6</v>
      </c>
      <c r="B1408" s="6" t="s">
        <v>19</v>
      </c>
      <c r="C1408" s="6" t="s">
        <v>1170</v>
      </c>
      <c r="D1408" s="11" t="s">
        <v>66</v>
      </c>
      <c r="E1408" s="17" t="s">
        <v>75</v>
      </c>
      <c r="F1408" s="17" t="s">
        <v>86</v>
      </c>
      <c r="G1408" s="11" t="s">
        <v>104</v>
      </c>
      <c r="H1408" s="11" t="s">
        <v>126</v>
      </c>
      <c r="I1408" s="17" t="s">
        <v>138</v>
      </c>
      <c r="J1408" s="17">
        <v>16.909980699999998</v>
      </c>
      <c r="K1408" s="17">
        <v>-96.720372999999995</v>
      </c>
      <c r="L1408" s="17" t="str">
        <f>HYPERLINK("https://maps.google.com/?q=16.9099807,-96.720373", "🔗 Ver Mapa")</f>
        <v>🔗 Ver Mapa</v>
      </c>
    </row>
    <row r="1409" spans="1:12" ht="72.5" x14ac:dyDescent="0.35">
      <c r="A1409" s="5" t="s">
        <v>225</v>
      </c>
      <c r="B1409" s="5" t="s">
        <v>226</v>
      </c>
      <c r="C1409" s="5" t="s">
        <v>1171</v>
      </c>
      <c r="D1409" s="8" t="s">
        <v>69</v>
      </c>
      <c r="E1409" s="16" t="s">
        <v>73</v>
      </c>
      <c r="F1409" s="16" t="s">
        <v>260</v>
      </c>
      <c r="G1409" s="8" t="s">
        <v>904</v>
      </c>
      <c r="H1409" s="8" t="s">
        <v>905</v>
      </c>
      <c r="I1409" s="16" t="s">
        <v>138</v>
      </c>
      <c r="J1409" s="16">
        <v>17.820391999999998</v>
      </c>
      <c r="K1409" s="16">
        <v>-97.453995000000006</v>
      </c>
      <c r="L1409" s="16" t="str">
        <f>HYPERLINK("https://maps.google.com/?q=17.820392,-97.453995", "🔗 Ver Mapa")</f>
        <v>🔗 Ver Mapa</v>
      </c>
    </row>
    <row r="1410" spans="1:12" ht="72.5" x14ac:dyDescent="0.35">
      <c r="A1410" s="6" t="s">
        <v>225</v>
      </c>
      <c r="B1410" s="6" t="s">
        <v>226</v>
      </c>
      <c r="C1410" s="6" t="s">
        <v>1172</v>
      </c>
      <c r="D1410" s="11" t="s">
        <v>69</v>
      </c>
      <c r="E1410" s="17" t="s">
        <v>79</v>
      </c>
      <c r="F1410" s="17" t="s">
        <v>390</v>
      </c>
      <c r="G1410" s="11" t="s">
        <v>1148</v>
      </c>
      <c r="H1410" s="11" t="s">
        <v>1173</v>
      </c>
      <c r="I1410" s="17" t="s">
        <v>138</v>
      </c>
      <c r="J1410" s="17">
        <v>17.01539</v>
      </c>
      <c r="K1410" s="17">
        <v>-97.931394999999995</v>
      </c>
      <c r="L1410" s="17" t="str">
        <f>HYPERLINK("https://maps.google.com/?q=17.01539,-97.931395", "🔗 Ver Mapa")</f>
        <v>🔗 Ver Mapa</v>
      </c>
    </row>
    <row r="1411" spans="1:12" ht="58" x14ac:dyDescent="0.35">
      <c r="A1411" s="5" t="s">
        <v>225</v>
      </c>
      <c r="B1411" s="5" t="s">
        <v>226</v>
      </c>
      <c r="C1411" s="5" t="s">
        <v>1174</v>
      </c>
      <c r="D1411" s="8" t="s">
        <v>69</v>
      </c>
      <c r="E1411" s="16" t="s">
        <v>78</v>
      </c>
      <c r="F1411" s="16" t="s">
        <v>399</v>
      </c>
      <c r="G1411" s="8" t="s">
        <v>1175</v>
      </c>
      <c r="H1411" s="8" t="s">
        <v>1176</v>
      </c>
      <c r="I1411" s="16" t="s">
        <v>138</v>
      </c>
      <c r="J1411" s="16">
        <v>17.407741456558</v>
      </c>
      <c r="K1411" s="16">
        <v>-96.381855441802998</v>
      </c>
      <c r="L1411" s="16" t="str">
        <f>HYPERLINK("https://maps.google.com/?q=17.407741456558,-96.381855441803", "🔗 Ver Mapa")</f>
        <v>🔗 Ver Mapa</v>
      </c>
    </row>
    <row r="1412" spans="1:12" ht="72.5" x14ac:dyDescent="0.35">
      <c r="A1412" s="6" t="s">
        <v>225</v>
      </c>
      <c r="B1412" s="6" t="s">
        <v>226</v>
      </c>
      <c r="C1412" s="6" t="s">
        <v>1177</v>
      </c>
      <c r="D1412" s="11" t="s">
        <v>69</v>
      </c>
      <c r="E1412" s="17" t="s">
        <v>73</v>
      </c>
      <c r="F1412" s="17" t="s">
        <v>260</v>
      </c>
      <c r="G1412" s="11" t="s">
        <v>515</v>
      </c>
      <c r="H1412" s="11" t="s">
        <v>1178</v>
      </c>
      <c r="I1412" s="17" t="s">
        <v>138</v>
      </c>
      <c r="J1412" s="17">
        <v>17.664165000000001</v>
      </c>
      <c r="K1412" s="17">
        <v>-97.333162999999999</v>
      </c>
      <c r="L1412" s="17" t="str">
        <f>HYPERLINK("https://maps.google.com/?q=17.664165,-97.333163", "🔗 Ver Mapa")</f>
        <v>🔗 Ver Mapa</v>
      </c>
    </row>
    <row r="1413" spans="1:12" ht="58" x14ac:dyDescent="0.35">
      <c r="A1413" s="5" t="s">
        <v>225</v>
      </c>
      <c r="B1413" s="5" t="s">
        <v>226</v>
      </c>
      <c r="C1413" s="5" t="s">
        <v>1179</v>
      </c>
      <c r="D1413" s="8" t="s">
        <v>69</v>
      </c>
      <c r="E1413" s="16" t="s">
        <v>74</v>
      </c>
      <c r="F1413" s="16" t="s">
        <v>82</v>
      </c>
      <c r="G1413" s="8" t="s">
        <v>94</v>
      </c>
      <c r="H1413" s="8" t="s">
        <v>116</v>
      </c>
      <c r="I1413" s="16" t="s">
        <v>138</v>
      </c>
      <c r="J1413" s="16">
        <v>16.360980000000001</v>
      </c>
      <c r="K1413" s="16">
        <v>-98.446364000000003</v>
      </c>
      <c r="L1413" s="16" t="str">
        <f>HYPERLINK("https://maps.google.com/?q=16.36098,-98.446364", "🔗 Ver Mapa")</f>
        <v>🔗 Ver Mapa</v>
      </c>
    </row>
    <row r="1414" spans="1:12" ht="43.5" x14ac:dyDescent="0.35">
      <c r="A1414" s="6" t="s">
        <v>225</v>
      </c>
      <c r="B1414" s="6" t="s">
        <v>226</v>
      </c>
      <c r="C1414" s="6" t="s">
        <v>1180</v>
      </c>
      <c r="D1414" s="11" t="s">
        <v>69</v>
      </c>
      <c r="E1414" s="17" t="s">
        <v>287</v>
      </c>
      <c r="F1414" s="17" t="s">
        <v>622</v>
      </c>
      <c r="G1414" s="11" t="s">
        <v>1098</v>
      </c>
      <c r="H1414" s="11" t="s">
        <v>1181</v>
      </c>
      <c r="I1414" s="17" t="s">
        <v>138</v>
      </c>
      <c r="J1414" s="17">
        <v>17.485030999999999</v>
      </c>
      <c r="K1414" s="17">
        <v>-95.991418999999993</v>
      </c>
      <c r="L1414" s="17" t="str">
        <f>HYPERLINK("https://maps.google.com/?q=17.485031,-95.991419", "🔗 Ver Mapa")</f>
        <v>🔗 Ver Mapa</v>
      </c>
    </row>
    <row r="1415" spans="1:12" ht="43.5" x14ac:dyDescent="0.35">
      <c r="A1415" s="5" t="s">
        <v>225</v>
      </c>
      <c r="B1415" s="5" t="s">
        <v>226</v>
      </c>
      <c r="C1415" s="5" t="s">
        <v>1180</v>
      </c>
      <c r="D1415" s="8" t="s">
        <v>69</v>
      </c>
      <c r="E1415" s="16" t="s">
        <v>287</v>
      </c>
      <c r="F1415" s="16" t="s">
        <v>622</v>
      </c>
      <c r="G1415" s="8" t="s">
        <v>1098</v>
      </c>
      <c r="H1415" s="8" t="s">
        <v>1181</v>
      </c>
      <c r="I1415" s="16" t="s">
        <v>138</v>
      </c>
      <c r="J1415" s="16">
        <v>17.502616</v>
      </c>
      <c r="K1415" s="16">
        <v>-95.996213999999995</v>
      </c>
      <c r="L1415" s="16" t="str">
        <f>HYPERLINK("https://maps.google.com/?q=17.502616,-95.996214", "🔗 Ver Mapa")</f>
        <v>🔗 Ver Mapa</v>
      </c>
    </row>
    <row r="1416" spans="1:12" ht="72.5" x14ac:dyDescent="0.35">
      <c r="A1416" s="6" t="s">
        <v>225</v>
      </c>
      <c r="B1416" s="6" t="s">
        <v>226</v>
      </c>
      <c r="C1416" s="6" t="s">
        <v>1182</v>
      </c>
      <c r="D1416" s="11" t="s">
        <v>69</v>
      </c>
      <c r="E1416" s="17" t="s">
        <v>73</v>
      </c>
      <c r="F1416" s="17" t="s">
        <v>83</v>
      </c>
      <c r="G1416" s="11" t="s">
        <v>1183</v>
      </c>
      <c r="H1416" s="11" t="s">
        <v>1184</v>
      </c>
      <c r="I1416" s="17" t="s">
        <v>138</v>
      </c>
      <c r="J1416" s="17">
        <v>17.419972999999999</v>
      </c>
      <c r="K1416" s="17">
        <v>-97.578894000000005</v>
      </c>
      <c r="L1416" s="17" t="str">
        <f>HYPERLINK("https://maps.google.com/?q=17.419973,-97.578894", "🔗 Ver Mapa")</f>
        <v>🔗 Ver Mapa</v>
      </c>
    </row>
    <row r="1417" spans="1:12" ht="72.5" x14ac:dyDescent="0.35">
      <c r="A1417" s="5" t="s">
        <v>225</v>
      </c>
      <c r="B1417" s="5" t="s">
        <v>226</v>
      </c>
      <c r="C1417" s="5" t="s">
        <v>1182</v>
      </c>
      <c r="D1417" s="8" t="s">
        <v>69</v>
      </c>
      <c r="E1417" s="16" t="s">
        <v>73</v>
      </c>
      <c r="F1417" s="16" t="s">
        <v>83</v>
      </c>
      <c r="G1417" s="8" t="s">
        <v>1183</v>
      </c>
      <c r="H1417" s="8" t="s">
        <v>1184</v>
      </c>
      <c r="I1417" s="16" t="s">
        <v>138</v>
      </c>
      <c r="J1417" s="16">
        <v>17.424195000000001</v>
      </c>
      <c r="K1417" s="16">
        <v>-97.579808999999997</v>
      </c>
      <c r="L1417" s="16" t="str">
        <f>HYPERLINK("https://maps.google.com/?q=17.424195,-97.579809", "🔗 Ver Mapa")</f>
        <v>🔗 Ver Mapa</v>
      </c>
    </row>
    <row r="1418" spans="1:12" ht="72.5" x14ac:dyDescent="0.35">
      <c r="A1418" s="6" t="s">
        <v>225</v>
      </c>
      <c r="B1418" s="6" t="s">
        <v>226</v>
      </c>
      <c r="C1418" s="6" t="s">
        <v>1182</v>
      </c>
      <c r="D1418" s="11" t="s">
        <v>69</v>
      </c>
      <c r="E1418" s="17" t="s">
        <v>73</v>
      </c>
      <c r="F1418" s="17" t="s">
        <v>83</v>
      </c>
      <c r="G1418" s="11" t="s">
        <v>1183</v>
      </c>
      <c r="H1418" s="11" t="s">
        <v>1184</v>
      </c>
      <c r="I1418" s="17" t="s">
        <v>138</v>
      </c>
      <c r="J1418" s="17">
        <v>17.429745787413001</v>
      </c>
      <c r="K1418" s="17">
        <v>-97.58094924785</v>
      </c>
      <c r="L1418" s="17" t="str">
        <f>HYPERLINK("https://maps.google.com/?q=17.429745787413,-97.58094924785", "🔗 Ver Mapa")</f>
        <v>🔗 Ver Mapa</v>
      </c>
    </row>
    <row r="1419" spans="1:12" ht="29" x14ac:dyDescent="0.35">
      <c r="A1419" s="5" t="s">
        <v>1185</v>
      </c>
      <c r="B1419" s="5" t="s">
        <v>1186</v>
      </c>
      <c r="C1419" s="5" t="s">
        <v>1187</v>
      </c>
      <c r="D1419" s="8" t="s">
        <v>65</v>
      </c>
      <c r="E1419" s="16" t="s">
        <v>75</v>
      </c>
      <c r="F1419" s="16" t="s">
        <v>86</v>
      </c>
      <c r="G1419" s="8" t="s">
        <v>103</v>
      </c>
      <c r="H1419" s="8" t="s">
        <v>125</v>
      </c>
      <c r="I1419" s="16" t="s">
        <v>138</v>
      </c>
      <c r="J1419" s="16">
        <v>17.068622999999999</v>
      </c>
      <c r="K1419" s="16">
        <v>-96.730973000000006</v>
      </c>
      <c r="L1419" s="16" t="str">
        <f>HYPERLINK("https://maps.google.com/?q=17.068623,-96.730973", "🔗 Ver Mapa")</f>
        <v>🔗 Ver Mapa</v>
      </c>
    </row>
    <row r="1420" spans="1:12" ht="29" x14ac:dyDescent="0.35">
      <c r="A1420" s="6" t="s">
        <v>569</v>
      </c>
      <c r="B1420" s="6" t="s">
        <v>570</v>
      </c>
      <c r="C1420" s="6" t="s">
        <v>1188</v>
      </c>
      <c r="D1420" s="11" t="s">
        <v>68</v>
      </c>
      <c r="E1420" s="17" t="s">
        <v>75</v>
      </c>
      <c r="F1420" s="17" t="s">
        <v>86</v>
      </c>
      <c r="G1420" s="11" t="s">
        <v>103</v>
      </c>
      <c r="H1420" s="11" t="s">
        <v>125</v>
      </c>
      <c r="I1420" s="17" t="s">
        <v>138</v>
      </c>
      <c r="J1420" s="17">
        <v>17.062211000000001</v>
      </c>
      <c r="K1420" s="17">
        <v>-96.724517000000006</v>
      </c>
      <c r="L1420" s="17" t="str">
        <f>HYPERLINK("https://maps.google.com/?q=17.062211,-96.724517", "🔗 Ver Mapa")</f>
        <v>🔗 Ver Mapa</v>
      </c>
    </row>
    <row r="1421" spans="1:12" ht="29" x14ac:dyDescent="0.35">
      <c r="A1421" s="5" t="s">
        <v>569</v>
      </c>
      <c r="B1421" s="5" t="s">
        <v>570</v>
      </c>
      <c r="C1421" s="5" t="s">
        <v>1188</v>
      </c>
      <c r="D1421" s="8" t="s">
        <v>68</v>
      </c>
      <c r="E1421" s="16" t="s">
        <v>75</v>
      </c>
      <c r="F1421" s="16" t="s">
        <v>86</v>
      </c>
      <c r="G1421" s="8" t="s">
        <v>103</v>
      </c>
      <c r="H1421" s="8" t="s">
        <v>125</v>
      </c>
      <c r="I1421" s="16" t="s">
        <v>138</v>
      </c>
      <c r="J1421" s="16">
        <v>17.063158999999999</v>
      </c>
      <c r="K1421" s="16">
        <v>-96.724316000000002</v>
      </c>
      <c r="L1421" s="16" t="str">
        <f>HYPERLINK("https://maps.google.com/?q=17.063159,-96.724316", "🔗 Ver Mapa")</f>
        <v>🔗 Ver Mapa</v>
      </c>
    </row>
    <row r="1422" spans="1:12" ht="29" x14ac:dyDescent="0.35">
      <c r="A1422" s="6" t="s">
        <v>569</v>
      </c>
      <c r="B1422" s="6" t="s">
        <v>570</v>
      </c>
      <c r="C1422" s="6" t="s">
        <v>1188</v>
      </c>
      <c r="D1422" s="11" t="s">
        <v>68</v>
      </c>
      <c r="E1422" s="17" t="s">
        <v>75</v>
      </c>
      <c r="F1422" s="17" t="s">
        <v>86</v>
      </c>
      <c r="G1422" s="11" t="s">
        <v>103</v>
      </c>
      <c r="H1422" s="11" t="s">
        <v>125</v>
      </c>
      <c r="I1422" s="17" t="s">
        <v>138</v>
      </c>
      <c r="J1422" s="17">
        <v>17.064048</v>
      </c>
      <c r="K1422" s="17">
        <v>-96.724136000000001</v>
      </c>
      <c r="L1422" s="17" t="str">
        <f>HYPERLINK("https://maps.google.com/?q=17.064048,-96.724136", "🔗 Ver Mapa")</f>
        <v>🔗 Ver Mapa</v>
      </c>
    </row>
    <row r="1423" spans="1:12" ht="29" x14ac:dyDescent="0.35">
      <c r="A1423" s="5" t="s">
        <v>569</v>
      </c>
      <c r="B1423" s="5" t="s">
        <v>570</v>
      </c>
      <c r="C1423" s="5" t="s">
        <v>1188</v>
      </c>
      <c r="D1423" s="8" t="s">
        <v>68</v>
      </c>
      <c r="E1423" s="16" t="s">
        <v>75</v>
      </c>
      <c r="F1423" s="16" t="s">
        <v>86</v>
      </c>
      <c r="G1423" s="8" t="s">
        <v>103</v>
      </c>
      <c r="H1423" s="8" t="s">
        <v>125</v>
      </c>
      <c r="I1423" s="16" t="s">
        <v>138</v>
      </c>
      <c r="J1423" s="16">
        <v>17.065010999999998</v>
      </c>
      <c r="K1423" s="16">
        <v>-96.723938000000004</v>
      </c>
      <c r="L1423" s="16" t="str">
        <f>HYPERLINK("https://maps.google.com/?q=17.065011,-96.723938", "🔗 Ver Mapa")</f>
        <v>🔗 Ver Mapa</v>
      </c>
    </row>
    <row r="1424" spans="1:12" ht="29" x14ac:dyDescent="0.35">
      <c r="A1424" s="6" t="s">
        <v>569</v>
      </c>
      <c r="B1424" s="6" t="s">
        <v>570</v>
      </c>
      <c r="C1424" s="6" t="s">
        <v>1188</v>
      </c>
      <c r="D1424" s="11" t="s">
        <v>68</v>
      </c>
      <c r="E1424" s="17" t="s">
        <v>75</v>
      </c>
      <c r="F1424" s="17" t="s">
        <v>86</v>
      </c>
      <c r="G1424" s="11" t="s">
        <v>103</v>
      </c>
      <c r="H1424" s="11" t="s">
        <v>125</v>
      </c>
      <c r="I1424" s="17" t="s">
        <v>138</v>
      </c>
      <c r="J1424" s="17">
        <v>17.065615999999999</v>
      </c>
      <c r="K1424" s="17">
        <v>-96.723816999999997</v>
      </c>
      <c r="L1424" s="17" t="str">
        <f>HYPERLINK("https://maps.google.com/?q=17.065616,-96.723817", "🔗 Ver Mapa")</f>
        <v>🔗 Ver Mapa</v>
      </c>
    </row>
    <row r="1425" spans="1:12" ht="58" x14ac:dyDescent="0.35">
      <c r="A1425" s="5" t="s">
        <v>5</v>
      </c>
      <c r="B1425" s="5" t="s">
        <v>18</v>
      </c>
      <c r="C1425" s="5" t="s">
        <v>1189</v>
      </c>
      <c r="D1425" s="8" t="s">
        <v>65</v>
      </c>
      <c r="E1425" s="16" t="s">
        <v>75</v>
      </c>
      <c r="F1425" s="16" t="s">
        <v>86</v>
      </c>
      <c r="G1425" s="8" t="s">
        <v>103</v>
      </c>
      <c r="H1425" s="8" t="s">
        <v>125</v>
      </c>
      <c r="I1425" s="16" t="s">
        <v>138</v>
      </c>
      <c r="J1425" s="16">
        <v>17.051757773831</v>
      </c>
      <c r="K1425" s="16">
        <v>-96.730943416843999</v>
      </c>
      <c r="L1425" s="16" t="str">
        <f>HYPERLINK("https://maps.google.com/?q=17.051757773831,-96.730943416844", "🔗 Ver Mapa")</f>
        <v>🔗 Ver Mapa</v>
      </c>
    </row>
    <row r="1426" spans="1:12" ht="43.5" x14ac:dyDescent="0.35">
      <c r="A1426" s="6" t="s">
        <v>2</v>
      </c>
      <c r="B1426" s="6" t="s">
        <v>15</v>
      </c>
      <c r="C1426" s="6" t="s">
        <v>1190</v>
      </c>
      <c r="D1426" s="11" t="s">
        <v>62</v>
      </c>
      <c r="E1426" s="17" t="s">
        <v>76</v>
      </c>
      <c r="F1426" s="17" t="s">
        <v>85</v>
      </c>
      <c r="G1426" s="11" t="s">
        <v>102</v>
      </c>
      <c r="H1426" s="11" t="s">
        <v>124</v>
      </c>
      <c r="I1426" s="17" t="s">
        <v>138</v>
      </c>
      <c r="J1426" s="17">
        <v>15.746143999999999</v>
      </c>
      <c r="K1426" s="17">
        <v>-96.465182999999996</v>
      </c>
      <c r="L1426" s="17" t="str">
        <f>HYPERLINK("https://maps.google.com/?q=15.746144,-96.465183", "🔗 Ver Mapa")</f>
        <v>🔗 Ver Mapa</v>
      </c>
    </row>
    <row r="1427" spans="1:12" ht="43.5" x14ac:dyDescent="0.35">
      <c r="A1427" s="5" t="s">
        <v>2</v>
      </c>
      <c r="B1427" s="5" t="s">
        <v>15</v>
      </c>
      <c r="C1427" s="5" t="s">
        <v>1190</v>
      </c>
      <c r="D1427" s="8" t="s">
        <v>62</v>
      </c>
      <c r="E1427" s="16" t="s">
        <v>76</v>
      </c>
      <c r="F1427" s="16" t="s">
        <v>85</v>
      </c>
      <c r="G1427" s="8" t="s">
        <v>102</v>
      </c>
      <c r="H1427" s="8" t="s">
        <v>124</v>
      </c>
      <c r="I1427" s="16" t="s">
        <v>138</v>
      </c>
      <c r="J1427" s="16">
        <v>16.237075999999998</v>
      </c>
      <c r="K1427" s="16">
        <v>-97.292351999999994</v>
      </c>
      <c r="L1427" s="16" t="str">
        <f>HYPERLINK("https://maps.google.com/?q=16.237076,-97.292352", "🔗 Ver Mapa")</f>
        <v>🔗 Ver Mapa</v>
      </c>
    </row>
    <row r="1428" spans="1:12" ht="43.5" x14ac:dyDescent="0.35">
      <c r="A1428" s="6" t="s">
        <v>2</v>
      </c>
      <c r="B1428" s="6" t="s">
        <v>15</v>
      </c>
      <c r="C1428" s="6" t="s">
        <v>1190</v>
      </c>
      <c r="D1428" s="11" t="s">
        <v>62</v>
      </c>
      <c r="E1428" s="17" t="s">
        <v>76</v>
      </c>
      <c r="F1428" s="17" t="s">
        <v>85</v>
      </c>
      <c r="G1428" s="11" t="s">
        <v>102</v>
      </c>
      <c r="H1428" s="11" t="s">
        <v>124</v>
      </c>
      <c r="I1428" s="17" t="s">
        <v>138</v>
      </c>
      <c r="J1428" s="17">
        <v>16.279057999999999</v>
      </c>
      <c r="K1428" s="17">
        <v>-97.820240999999996</v>
      </c>
      <c r="L1428" s="17" t="str">
        <f>HYPERLINK("https://maps.google.com/?q=16.279058,-97.820241", "🔗 Ver Mapa")</f>
        <v>🔗 Ver Mapa</v>
      </c>
    </row>
    <row r="1429" spans="1:12" ht="43.5" x14ac:dyDescent="0.35">
      <c r="A1429" s="5" t="s">
        <v>2</v>
      </c>
      <c r="B1429" s="5" t="s">
        <v>15</v>
      </c>
      <c r="C1429" s="5" t="s">
        <v>1190</v>
      </c>
      <c r="D1429" s="8" t="s">
        <v>62</v>
      </c>
      <c r="E1429" s="16" t="s">
        <v>76</v>
      </c>
      <c r="F1429" s="16" t="s">
        <v>85</v>
      </c>
      <c r="G1429" s="8" t="s">
        <v>102</v>
      </c>
      <c r="H1429" s="8" t="s">
        <v>124</v>
      </c>
      <c r="I1429" s="16" t="s">
        <v>138</v>
      </c>
      <c r="J1429" s="16">
        <v>16.328751</v>
      </c>
      <c r="K1429" s="16">
        <v>-96.596529000000004</v>
      </c>
      <c r="L1429" s="16" t="str">
        <f>HYPERLINK("https://maps.google.com/?q=16.328751,-96.596529", "🔗 Ver Mapa")</f>
        <v>🔗 Ver Mapa</v>
      </c>
    </row>
    <row r="1430" spans="1:12" ht="43.5" x14ac:dyDescent="0.35">
      <c r="A1430" s="6" t="s">
        <v>2</v>
      </c>
      <c r="B1430" s="6" t="s">
        <v>15</v>
      </c>
      <c r="C1430" s="6" t="s">
        <v>1190</v>
      </c>
      <c r="D1430" s="11" t="s">
        <v>62</v>
      </c>
      <c r="E1430" s="17" t="s">
        <v>76</v>
      </c>
      <c r="F1430" s="17" t="s">
        <v>85</v>
      </c>
      <c r="G1430" s="11" t="s">
        <v>102</v>
      </c>
      <c r="H1430" s="11" t="s">
        <v>124</v>
      </c>
      <c r="I1430" s="17" t="s">
        <v>138</v>
      </c>
      <c r="J1430" s="17">
        <v>16.332014000000001</v>
      </c>
      <c r="K1430" s="17">
        <v>-95.231966</v>
      </c>
      <c r="L1430" s="17" t="str">
        <f>HYPERLINK("https://maps.google.com/?q=16.332014,-95.231966", "🔗 Ver Mapa")</f>
        <v>🔗 Ver Mapa</v>
      </c>
    </row>
    <row r="1431" spans="1:12" ht="43.5" x14ac:dyDescent="0.35">
      <c r="A1431" s="5" t="s">
        <v>2</v>
      </c>
      <c r="B1431" s="5" t="s">
        <v>15</v>
      </c>
      <c r="C1431" s="5" t="s">
        <v>1190</v>
      </c>
      <c r="D1431" s="8" t="s">
        <v>62</v>
      </c>
      <c r="E1431" s="16" t="s">
        <v>76</v>
      </c>
      <c r="F1431" s="16" t="s">
        <v>85</v>
      </c>
      <c r="G1431" s="8" t="s">
        <v>102</v>
      </c>
      <c r="H1431" s="8" t="s">
        <v>124</v>
      </c>
      <c r="I1431" s="16" t="s">
        <v>138</v>
      </c>
      <c r="J1431" s="16">
        <v>16.433347000000001</v>
      </c>
      <c r="K1431" s="16">
        <v>-95.021687</v>
      </c>
      <c r="L1431" s="16" t="str">
        <f>HYPERLINK("https://maps.google.com/?q=16.433347,-95.021687", "🔗 Ver Mapa")</f>
        <v>🔗 Ver Mapa</v>
      </c>
    </row>
    <row r="1432" spans="1:12" ht="43.5" x14ac:dyDescent="0.35">
      <c r="A1432" s="6" t="s">
        <v>2</v>
      </c>
      <c r="B1432" s="6" t="s">
        <v>15</v>
      </c>
      <c r="C1432" s="6" t="s">
        <v>1190</v>
      </c>
      <c r="D1432" s="11" t="s">
        <v>62</v>
      </c>
      <c r="E1432" s="17" t="s">
        <v>76</v>
      </c>
      <c r="F1432" s="17" t="s">
        <v>85</v>
      </c>
      <c r="G1432" s="11" t="s">
        <v>102</v>
      </c>
      <c r="H1432" s="11" t="s">
        <v>124</v>
      </c>
      <c r="I1432" s="17" t="s">
        <v>138</v>
      </c>
      <c r="J1432" s="17">
        <v>16.500512000000001</v>
      </c>
      <c r="K1432" s="17">
        <v>-96.106790000000004</v>
      </c>
      <c r="L1432" s="17" t="str">
        <f>HYPERLINK("https://maps.google.com/?q=16.500512,-96.10679", "🔗 Ver Mapa")</f>
        <v>🔗 Ver Mapa</v>
      </c>
    </row>
    <row r="1433" spans="1:12" ht="43.5" x14ac:dyDescent="0.35">
      <c r="A1433" s="5" t="s">
        <v>2</v>
      </c>
      <c r="B1433" s="5" t="s">
        <v>15</v>
      </c>
      <c r="C1433" s="5" t="s">
        <v>1190</v>
      </c>
      <c r="D1433" s="8" t="s">
        <v>62</v>
      </c>
      <c r="E1433" s="16" t="s">
        <v>76</v>
      </c>
      <c r="F1433" s="16" t="s">
        <v>85</v>
      </c>
      <c r="G1433" s="8" t="s">
        <v>102</v>
      </c>
      <c r="H1433" s="8" t="s">
        <v>124</v>
      </c>
      <c r="I1433" s="16" t="s">
        <v>138</v>
      </c>
      <c r="J1433" s="16">
        <v>16.519807</v>
      </c>
      <c r="K1433" s="16">
        <v>-96.983885000000001</v>
      </c>
      <c r="L1433" s="16" t="str">
        <f>HYPERLINK("https://maps.google.com/?q=16.519807,-96.983885", "🔗 Ver Mapa")</f>
        <v>🔗 Ver Mapa</v>
      </c>
    </row>
    <row r="1434" spans="1:12" ht="43.5" x14ac:dyDescent="0.35">
      <c r="A1434" s="6" t="s">
        <v>2</v>
      </c>
      <c r="B1434" s="6" t="s">
        <v>15</v>
      </c>
      <c r="C1434" s="6" t="s">
        <v>1190</v>
      </c>
      <c r="D1434" s="11" t="s">
        <v>62</v>
      </c>
      <c r="E1434" s="17" t="s">
        <v>76</v>
      </c>
      <c r="F1434" s="17" t="s">
        <v>85</v>
      </c>
      <c r="G1434" s="11" t="s">
        <v>102</v>
      </c>
      <c r="H1434" s="11" t="s">
        <v>124</v>
      </c>
      <c r="I1434" s="17" t="s">
        <v>138</v>
      </c>
      <c r="J1434" s="17">
        <v>16.564243999999999</v>
      </c>
      <c r="K1434" s="17">
        <v>-96.731829000000005</v>
      </c>
      <c r="L1434" s="17" t="str">
        <f>HYPERLINK("https://maps.google.com/?q=16.564244,-96.731829", "🔗 Ver Mapa")</f>
        <v>🔗 Ver Mapa</v>
      </c>
    </row>
    <row r="1435" spans="1:12" ht="43.5" x14ac:dyDescent="0.35">
      <c r="A1435" s="5" t="s">
        <v>2</v>
      </c>
      <c r="B1435" s="5" t="s">
        <v>15</v>
      </c>
      <c r="C1435" s="5" t="s">
        <v>1190</v>
      </c>
      <c r="D1435" s="8" t="s">
        <v>62</v>
      </c>
      <c r="E1435" s="16" t="s">
        <v>76</v>
      </c>
      <c r="F1435" s="16" t="s">
        <v>85</v>
      </c>
      <c r="G1435" s="8" t="s">
        <v>102</v>
      </c>
      <c r="H1435" s="8" t="s">
        <v>124</v>
      </c>
      <c r="I1435" s="16" t="s">
        <v>138</v>
      </c>
      <c r="J1435" s="16">
        <v>16.791625</v>
      </c>
      <c r="K1435" s="16">
        <v>-96.674999</v>
      </c>
      <c r="L1435" s="16" t="str">
        <f>HYPERLINK("https://maps.google.com/?q=16.791625,-96.674999", "🔗 Ver Mapa")</f>
        <v>🔗 Ver Mapa</v>
      </c>
    </row>
    <row r="1436" spans="1:12" ht="43.5" x14ac:dyDescent="0.35">
      <c r="A1436" s="6" t="s">
        <v>2</v>
      </c>
      <c r="B1436" s="6" t="s">
        <v>15</v>
      </c>
      <c r="C1436" s="6" t="s">
        <v>1190</v>
      </c>
      <c r="D1436" s="11" t="s">
        <v>62</v>
      </c>
      <c r="E1436" s="17" t="s">
        <v>76</v>
      </c>
      <c r="F1436" s="17" t="s">
        <v>85</v>
      </c>
      <c r="G1436" s="11" t="s">
        <v>102</v>
      </c>
      <c r="H1436" s="11" t="s">
        <v>124</v>
      </c>
      <c r="I1436" s="17" t="s">
        <v>138</v>
      </c>
      <c r="J1436" s="17">
        <v>16.866371000000001</v>
      </c>
      <c r="K1436" s="17">
        <v>-96.785623000000001</v>
      </c>
      <c r="L1436" s="17" t="str">
        <f>HYPERLINK("https://maps.google.com/?q=16.866371,-96.785623", "🔗 Ver Mapa")</f>
        <v>🔗 Ver Mapa</v>
      </c>
    </row>
    <row r="1437" spans="1:12" ht="43.5" x14ac:dyDescent="0.35">
      <c r="A1437" s="5" t="s">
        <v>2</v>
      </c>
      <c r="B1437" s="5" t="s">
        <v>15</v>
      </c>
      <c r="C1437" s="5" t="s">
        <v>1190</v>
      </c>
      <c r="D1437" s="8" t="s">
        <v>62</v>
      </c>
      <c r="E1437" s="16" t="s">
        <v>76</v>
      </c>
      <c r="F1437" s="16" t="s">
        <v>85</v>
      </c>
      <c r="G1437" s="8" t="s">
        <v>102</v>
      </c>
      <c r="H1437" s="8" t="s">
        <v>124</v>
      </c>
      <c r="I1437" s="16" t="s">
        <v>138</v>
      </c>
      <c r="J1437" s="16">
        <v>16.950706</v>
      </c>
      <c r="K1437" s="16">
        <v>-96.750504000000006</v>
      </c>
      <c r="L1437" s="16" t="str">
        <f>HYPERLINK("https://maps.google.com/?q=16.950706,-96.750504", "🔗 Ver Mapa")</f>
        <v>🔗 Ver Mapa</v>
      </c>
    </row>
    <row r="1438" spans="1:12" ht="43.5" x14ac:dyDescent="0.35">
      <c r="A1438" s="6" t="s">
        <v>2</v>
      </c>
      <c r="B1438" s="6" t="s">
        <v>15</v>
      </c>
      <c r="C1438" s="6" t="s">
        <v>1190</v>
      </c>
      <c r="D1438" s="11" t="s">
        <v>62</v>
      </c>
      <c r="E1438" s="17" t="s">
        <v>76</v>
      </c>
      <c r="F1438" s="17" t="s">
        <v>85</v>
      </c>
      <c r="G1438" s="11" t="s">
        <v>102</v>
      </c>
      <c r="H1438" s="11" t="s">
        <v>124</v>
      </c>
      <c r="I1438" s="17" t="s">
        <v>138</v>
      </c>
      <c r="J1438" s="17">
        <v>16.955580000000001</v>
      </c>
      <c r="K1438" s="17">
        <v>-96.479206000000005</v>
      </c>
      <c r="L1438" s="17" t="str">
        <f>HYPERLINK("https://maps.google.com/?q=16.95558,-96.479206", "🔗 Ver Mapa")</f>
        <v>🔗 Ver Mapa</v>
      </c>
    </row>
    <row r="1439" spans="1:12" ht="43.5" x14ac:dyDescent="0.35">
      <c r="A1439" s="5" t="s">
        <v>2</v>
      </c>
      <c r="B1439" s="5" t="s">
        <v>15</v>
      </c>
      <c r="C1439" s="5" t="s">
        <v>1190</v>
      </c>
      <c r="D1439" s="8" t="s">
        <v>62</v>
      </c>
      <c r="E1439" s="16" t="s">
        <v>76</v>
      </c>
      <c r="F1439" s="16" t="s">
        <v>85</v>
      </c>
      <c r="G1439" s="8" t="s">
        <v>102</v>
      </c>
      <c r="H1439" s="8" t="s">
        <v>124</v>
      </c>
      <c r="I1439" s="16" t="s">
        <v>138</v>
      </c>
      <c r="J1439" s="16">
        <v>17.026216000000002</v>
      </c>
      <c r="K1439" s="16">
        <v>-97.928115000000005</v>
      </c>
      <c r="L1439" s="16" t="str">
        <f>HYPERLINK("https://maps.google.com/?q=17.026216,-97.928115", "🔗 Ver Mapa")</f>
        <v>🔗 Ver Mapa</v>
      </c>
    </row>
    <row r="1440" spans="1:12" ht="43.5" x14ac:dyDescent="0.35">
      <c r="A1440" s="6" t="s">
        <v>2</v>
      </c>
      <c r="B1440" s="6" t="s">
        <v>15</v>
      </c>
      <c r="C1440" s="6" t="s">
        <v>1190</v>
      </c>
      <c r="D1440" s="11" t="s">
        <v>62</v>
      </c>
      <c r="E1440" s="17" t="s">
        <v>76</v>
      </c>
      <c r="F1440" s="17" t="s">
        <v>85</v>
      </c>
      <c r="G1440" s="11" t="s">
        <v>102</v>
      </c>
      <c r="H1440" s="11" t="s">
        <v>124</v>
      </c>
      <c r="I1440" s="17" t="s">
        <v>138</v>
      </c>
      <c r="J1440" s="17">
        <v>17.027131000000001</v>
      </c>
      <c r="K1440" s="17">
        <v>-96.077044000000001</v>
      </c>
      <c r="L1440" s="17" t="str">
        <f>HYPERLINK("https://maps.google.com/?q=17.027131,-96.077044", "🔗 Ver Mapa")</f>
        <v>🔗 Ver Mapa</v>
      </c>
    </row>
    <row r="1441" spans="1:12" ht="43.5" x14ac:dyDescent="0.35">
      <c r="A1441" s="5" t="s">
        <v>2</v>
      </c>
      <c r="B1441" s="5" t="s">
        <v>15</v>
      </c>
      <c r="C1441" s="5" t="s">
        <v>1190</v>
      </c>
      <c r="D1441" s="8" t="s">
        <v>62</v>
      </c>
      <c r="E1441" s="16" t="s">
        <v>76</v>
      </c>
      <c r="F1441" s="16" t="s">
        <v>85</v>
      </c>
      <c r="G1441" s="8" t="s">
        <v>102</v>
      </c>
      <c r="H1441" s="8" t="s">
        <v>124</v>
      </c>
      <c r="I1441" s="16" t="s">
        <v>138</v>
      </c>
      <c r="J1441" s="16">
        <v>17.063777999999999</v>
      </c>
      <c r="K1441" s="16">
        <v>-96.729971000000006</v>
      </c>
      <c r="L1441" s="16" t="str">
        <f>HYPERLINK("https://maps.google.com/?q=17.063778,-96.729971", "🔗 Ver Mapa")</f>
        <v>🔗 Ver Mapa</v>
      </c>
    </row>
    <row r="1442" spans="1:12" ht="43.5" x14ac:dyDescent="0.35">
      <c r="A1442" s="6" t="s">
        <v>2</v>
      </c>
      <c r="B1442" s="6" t="s">
        <v>15</v>
      </c>
      <c r="C1442" s="6" t="s">
        <v>1190</v>
      </c>
      <c r="D1442" s="11" t="s">
        <v>62</v>
      </c>
      <c r="E1442" s="17" t="s">
        <v>76</v>
      </c>
      <c r="F1442" s="17" t="s">
        <v>85</v>
      </c>
      <c r="G1442" s="11" t="s">
        <v>102</v>
      </c>
      <c r="H1442" s="11" t="s">
        <v>124</v>
      </c>
      <c r="I1442" s="17" t="s">
        <v>138</v>
      </c>
      <c r="J1442" s="17">
        <v>17.207464000000002</v>
      </c>
      <c r="K1442" s="17">
        <v>-96.801094000000006</v>
      </c>
      <c r="L1442" s="17" t="str">
        <f>HYPERLINK("https://maps.google.com/?q=17.207464,-96.801094", "🔗 Ver Mapa")</f>
        <v>🔗 Ver Mapa</v>
      </c>
    </row>
    <row r="1443" spans="1:12" ht="43.5" x14ac:dyDescent="0.35">
      <c r="A1443" s="5" t="s">
        <v>2</v>
      </c>
      <c r="B1443" s="5" t="s">
        <v>15</v>
      </c>
      <c r="C1443" s="5" t="s">
        <v>1190</v>
      </c>
      <c r="D1443" s="8" t="s">
        <v>62</v>
      </c>
      <c r="E1443" s="16" t="s">
        <v>76</v>
      </c>
      <c r="F1443" s="16" t="s">
        <v>85</v>
      </c>
      <c r="G1443" s="8" t="s">
        <v>102</v>
      </c>
      <c r="H1443" s="8" t="s">
        <v>124</v>
      </c>
      <c r="I1443" s="16" t="s">
        <v>138</v>
      </c>
      <c r="J1443" s="16">
        <v>17.267448999999999</v>
      </c>
      <c r="K1443" s="16">
        <v>-97.680485000000004</v>
      </c>
      <c r="L1443" s="16" t="str">
        <f>HYPERLINK("https://maps.google.com/?q=17.267449,-97.680485", "🔗 Ver Mapa")</f>
        <v>🔗 Ver Mapa</v>
      </c>
    </row>
    <row r="1444" spans="1:12" ht="43.5" x14ac:dyDescent="0.35">
      <c r="A1444" s="6" t="s">
        <v>2</v>
      </c>
      <c r="B1444" s="6" t="s">
        <v>15</v>
      </c>
      <c r="C1444" s="6" t="s">
        <v>1190</v>
      </c>
      <c r="D1444" s="11" t="s">
        <v>62</v>
      </c>
      <c r="E1444" s="17" t="s">
        <v>76</v>
      </c>
      <c r="F1444" s="17" t="s">
        <v>85</v>
      </c>
      <c r="G1444" s="11" t="s">
        <v>102</v>
      </c>
      <c r="H1444" s="11" t="s">
        <v>124</v>
      </c>
      <c r="I1444" s="17" t="s">
        <v>138</v>
      </c>
      <c r="J1444" s="17">
        <v>17.331247999999999</v>
      </c>
      <c r="K1444" s="17">
        <v>-96.487900999999994</v>
      </c>
      <c r="L1444" s="17" t="str">
        <f>HYPERLINK("https://maps.google.com/?q=17.331248,-96.487901", "🔗 Ver Mapa")</f>
        <v>🔗 Ver Mapa</v>
      </c>
    </row>
    <row r="1445" spans="1:12" ht="43.5" x14ac:dyDescent="0.35">
      <c r="A1445" s="5" t="s">
        <v>2</v>
      </c>
      <c r="B1445" s="5" t="s">
        <v>15</v>
      </c>
      <c r="C1445" s="5" t="s">
        <v>1190</v>
      </c>
      <c r="D1445" s="8" t="s">
        <v>62</v>
      </c>
      <c r="E1445" s="16" t="s">
        <v>76</v>
      </c>
      <c r="F1445" s="16" t="s">
        <v>85</v>
      </c>
      <c r="G1445" s="8" t="s">
        <v>102</v>
      </c>
      <c r="H1445" s="8" t="s">
        <v>124</v>
      </c>
      <c r="I1445" s="16" t="s">
        <v>138</v>
      </c>
      <c r="J1445" s="16">
        <v>17.335315999999999</v>
      </c>
      <c r="K1445" s="16">
        <v>-98.012051</v>
      </c>
      <c r="L1445" s="16" t="str">
        <f>HYPERLINK("https://maps.google.com/?q=17.335316,-98.012051", "🔗 Ver Mapa")</f>
        <v>🔗 Ver Mapa</v>
      </c>
    </row>
    <row r="1446" spans="1:12" ht="43.5" x14ac:dyDescent="0.35">
      <c r="A1446" s="6" t="s">
        <v>2</v>
      </c>
      <c r="B1446" s="6" t="s">
        <v>15</v>
      </c>
      <c r="C1446" s="6" t="s">
        <v>1190</v>
      </c>
      <c r="D1446" s="11" t="s">
        <v>62</v>
      </c>
      <c r="E1446" s="17" t="s">
        <v>76</v>
      </c>
      <c r="F1446" s="17" t="s">
        <v>85</v>
      </c>
      <c r="G1446" s="11" t="s">
        <v>102</v>
      </c>
      <c r="H1446" s="11" t="s">
        <v>124</v>
      </c>
      <c r="I1446" s="17" t="s">
        <v>138</v>
      </c>
      <c r="J1446" s="17">
        <v>17.338730000000002</v>
      </c>
      <c r="K1446" s="17">
        <v>-96.152553999999995</v>
      </c>
      <c r="L1446" s="17" t="str">
        <f>HYPERLINK("https://maps.google.com/?q=17.33873,-96.152554", "🔗 Ver Mapa")</f>
        <v>🔗 Ver Mapa</v>
      </c>
    </row>
    <row r="1447" spans="1:12" ht="43.5" x14ac:dyDescent="0.35">
      <c r="A1447" s="5" t="s">
        <v>2</v>
      </c>
      <c r="B1447" s="5" t="s">
        <v>15</v>
      </c>
      <c r="C1447" s="5" t="s">
        <v>1190</v>
      </c>
      <c r="D1447" s="8" t="s">
        <v>62</v>
      </c>
      <c r="E1447" s="16" t="s">
        <v>76</v>
      </c>
      <c r="F1447" s="16" t="s">
        <v>85</v>
      </c>
      <c r="G1447" s="8" t="s">
        <v>102</v>
      </c>
      <c r="H1447" s="8" t="s">
        <v>124</v>
      </c>
      <c r="I1447" s="16" t="s">
        <v>138</v>
      </c>
      <c r="J1447" s="16">
        <v>17.361765999999999</v>
      </c>
      <c r="K1447" s="16">
        <v>-95.922253999999995</v>
      </c>
      <c r="L1447" s="16" t="str">
        <f>HYPERLINK("https://maps.google.com/?q=17.361766,-95.922254", "🔗 Ver Mapa")</f>
        <v>🔗 Ver Mapa</v>
      </c>
    </row>
    <row r="1448" spans="1:12" ht="43.5" x14ac:dyDescent="0.35">
      <c r="A1448" s="6" t="s">
        <v>2</v>
      </c>
      <c r="B1448" s="6" t="s">
        <v>15</v>
      </c>
      <c r="C1448" s="6" t="s">
        <v>1190</v>
      </c>
      <c r="D1448" s="11" t="s">
        <v>62</v>
      </c>
      <c r="E1448" s="17" t="s">
        <v>76</v>
      </c>
      <c r="F1448" s="17" t="s">
        <v>85</v>
      </c>
      <c r="G1448" s="11" t="s">
        <v>102</v>
      </c>
      <c r="H1448" s="11" t="s">
        <v>124</v>
      </c>
      <c r="I1448" s="17" t="s">
        <v>138</v>
      </c>
      <c r="J1448" s="17">
        <v>17.458341000000001</v>
      </c>
      <c r="K1448" s="17">
        <v>-97.225285</v>
      </c>
      <c r="L1448" s="17" t="str">
        <f>HYPERLINK("https://maps.google.com/?q=17.458341,-97.225285", "🔗 Ver Mapa")</f>
        <v>🔗 Ver Mapa</v>
      </c>
    </row>
    <row r="1449" spans="1:12" ht="43.5" x14ac:dyDescent="0.35">
      <c r="A1449" s="5" t="s">
        <v>2</v>
      </c>
      <c r="B1449" s="5" t="s">
        <v>15</v>
      </c>
      <c r="C1449" s="5" t="s">
        <v>1190</v>
      </c>
      <c r="D1449" s="8" t="s">
        <v>62</v>
      </c>
      <c r="E1449" s="16" t="s">
        <v>76</v>
      </c>
      <c r="F1449" s="16" t="s">
        <v>85</v>
      </c>
      <c r="G1449" s="8" t="s">
        <v>102</v>
      </c>
      <c r="H1449" s="8" t="s">
        <v>124</v>
      </c>
      <c r="I1449" s="16" t="s">
        <v>138</v>
      </c>
      <c r="J1449" s="16">
        <v>17.501442000000001</v>
      </c>
      <c r="K1449" s="16">
        <v>-98.142583999999999</v>
      </c>
      <c r="L1449" s="16" t="str">
        <f>HYPERLINK("https://maps.google.com/?q=17.501442,-98.142584", "🔗 Ver Mapa")</f>
        <v>🔗 Ver Mapa</v>
      </c>
    </row>
    <row r="1450" spans="1:12" ht="43.5" x14ac:dyDescent="0.35">
      <c r="A1450" s="6" t="s">
        <v>2</v>
      </c>
      <c r="B1450" s="6" t="s">
        <v>15</v>
      </c>
      <c r="C1450" s="6" t="s">
        <v>1190</v>
      </c>
      <c r="D1450" s="11" t="s">
        <v>62</v>
      </c>
      <c r="E1450" s="17" t="s">
        <v>76</v>
      </c>
      <c r="F1450" s="17" t="s">
        <v>85</v>
      </c>
      <c r="G1450" s="11" t="s">
        <v>102</v>
      </c>
      <c r="H1450" s="11" t="s">
        <v>124</v>
      </c>
      <c r="I1450" s="17" t="s">
        <v>138</v>
      </c>
      <c r="J1450" s="17">
        <v>17.511838000000001</v>
      </c>
      <c r="K1450" s="17">
        <v>-97.488547999999994</v>
      </c>
      <c r="L1450" s="17" t="str">
        <f>HYPERLINK("https://maps.google.com/?q=17.511838,-97.488548", "🔗 Ver Mapa")</f>
        <v>🔗 Ver Mapa</v>
      </c>
    </row>
    <row r="1451" spans="1:12" ht="43.5" x14ac:dyDescent="0.35">
      <c r="A1451" s="5" t="s">
        <v>2</v>
      </c>
      <c r="B1451" s="5" t="s">
        <v>15</v>
      </c>
      <c r="C1451" s="5" t="s">
        <v>1190</v>
      </c>
      <c r="D1451" s="8" t="s">
        <v>62</v>
      </c>
      <c r="E1451" s="16" t="s">
        <v>76</v>
      </c>
      <c r="F1451" s="16" t="s">
        <v>85</v>
      </c>
      <c r="G1451" s="8" t="s">
        <v>102</v>
      </c>
      <c r="H1451" s="8" t="s">
        <v>124</v>
      </c>
      <c r="I1451" s="16" t="s">
        <v>138</v>
      </c>
      <c r="J1451" s="16">
        <v>17.724615</v>
      </c>
      <c r="K1451" s="16">
        <v>-97.323898</v>
      </c>
      <c r="L1451" s="16" t="str">
        <f>HYPERLINK("https://maps.google.com/?q=17.724615,-97.323898", "🔗 Ver Mapa")</f>
        <v>🔗 Ver Mapa</v>
      </c>
    </row>
    <row r="1452" spans="1:12" ht="43.5" x14ac:dyDescent="0.35">
      <c r="A1452" s="6" t="s">
        <v>2</v>
      </c>
      <c r="B1452" s="6" t="s">
        <v>15</v>
      </c>
      <c r="C1452" s="6" t="s">
        <v>1190</v>
      </c>
      <c r="D1452" s="11" t="s">
        <v>62</v>
      </c>
      <c r="E1452" s="17" t="s">
        <v>76</v>
      </c>
      <c r="F1452" s="17" t="s">
        <v>85</v>
      </c>
      <c r="G1452" s="11" t="s">
        <v>102</v>
      </c>
      <c r="H1452" s="11" t="s">
        <v>124</v>
      </c>
      <c r="I1452" s="17" t="s">
        <v>138</v>
      </c>
      <c r="J1452" s="17">
        <v>17.801687000000001</v>
      </c>
      <c r="K1452" s="17">
        <v>-96.959688</v>
      </c>
      <c r="L1452" s="17" t="str">
        <f>HYPERLINK("https://maps.google.com/?q=17.801687,-96.959688", "🔗 Ver Mapa")</f>
        <v>🔗 Ver Mapa</v>
      </c>
    </row>
    <row r="1453" spans="1:12" ht="43.5" x14ac:dyDescent="0.35">
      <c r="A1453" s="5" t="s">
        <v>2</v>
      </c>
      <c r="B1453" s="5" t="s">
        <v>15</v>
      </c>
      <c r="C1453" s="5" t="s">
        <v>1190</v>
      </c>
      <c r="D1453" s="8" t="s">
        <v>62</v>
      </c>
      <c r="E1453" s="16" t="s">
        <v>76</v>
      </c>
      <c r="F1453" s="16" t="s">
        <v>85</v>
      </c>
      <c r="G1453" s="8" t="s">
        <v>102</v>
      </c>
      <c r="H1453" s="8" t="s">
        <v>124</v>
      </c>
      <c r="I1453" s="16" t="s">
        <v>138</v>
      </c>
      <c r="J1453" s="16">
        <v>17.806621</v>
      </c>
      <c r="K1453" s="16">
        <v>-97.776161999999999</v>
      </c>
      <c r="L1453" s="16" t="str">
        <f>HYPERLINK("https://maps.google.com/?q=17.806621,-97.776162", "🔗 Ver Mapa")</f>
        <v>🔗 Ver Mapa</v>
      </c>
    </row>
    <row r="1454" spans="1:12" ht="43.5" x14ac:dyDescent="0.35">
      <c r="A1454" s="6" t="s">
        <v>2</v>
      </c>
      <c r="B1454" s="6" t="s">
        <v>15</v>
      </c>
      <c r="C1454" s="6" t="s">
        <v>1190</v>
      </c>
      <c r="D1454" s="11" t="s">
        <v>62</v>
      </c>
      <c r="E1454" s="17" t="s">
        <v>76</v>
      </c>
      <c r="F1454" s="17" t="s">
        <v>85</v>
      </c>
      <c r="G1454" s="11" t="s">
        <v>102</v>
      </c>
      <c r="H1454" s="11" t="s">
        <v>124</v>
      </c>
      <c r="I1454" s="17" t="s">
        <v>138</v>
      </c>
      <c r="J1454" s="17">
        <v>18.081168999999999</v>
      </c>
      <c r="K1454" s="17">
        <v>-96.118475000000004</v>
      </c>
      <c r="L1454" s="17" t="str">
        <f>HYPERLINK("https://maps.google.com/?q=18.081169,-96.118475", "🔗 Ver Mapa")</f>
        <v>🔗 Ver Mapa</v>
      </c>
    </row>
    <row r="1455" spans="1:12" ht="43.5" x14ac:dyDescent="0.35">
      <c r="A1455" s="5" t="s">
        <v>2</v>
      </c>
      <c r="B1455" s="5" t="s">
        <v>15</v>
      </c>
      <c r="C1455" s="5" t="s">
        <v>1190</v>
      </c>
      <c r="D1455" s="8" t="s">
        <v>62</v>
      </c>
      <c r="E1455" s="16" t="s">
        <v>76</v>
      </c>
      <c r="F1455" s="16" t="s">
        <v>85</v>
      </c>
      <c r="G1455" s="8" t="s">
        <v>102</v>
      </c>
      <c r="H1455" s="8" t="s">
        <v>124</v>
      </c>
      <c r="I1455" s="16" t="s">
        <v>138</v>
      </c>
      <c r="J1455" s="16">
        <v>18.13222</v>
      </c>
      <c r="K1455" s="16">
        <v>-97.070751000000001</v>
      </c>
      <c r="L1455" s="16" t="str">
        <f>HYPERLINK("https://maps.google.com/?q=18.13222,-97.070751", "🔗 Ver Mapa")</f>
        <v>🔗 Ver Mapa</v>
      </c>
    </row>
    <row r="1456" spans="1:12" ht="43.5" x14ac:dyDescent="0.35">
      <c r="A1456" s="6" t="s">
        <v>2</v>
      </c>
      <c r="B1456" s="6" t="s">
        <v>15</v>
      </c>
      <c r="C1456" s="6" t="s">
        <v>1191</v>
      </c>
      <c r="D1456" s="11" t="s">
        <v>62</v>
      </c>
      <c r="E1456" s="17" t="s">
        <v>76</v>
      </c>
      <c r="F1456" s="17" t="s">
        <v>85</v>
      </c>
      <c r="G1456" s="11" t="s">
        <v>102</v>
      </c>
      <c r="H1456" s="11" t="s">
        <v>124</v>
      </c>
      <c r="I1456" s="17" t="s">
        <v>138</v>
      </c>
      <c r="J1456" s="17">
        <v>15.746143999999999</v>
      </c>
      <c r="K1456" s="17">
        <v>-96.465182999999996</v>
      </c>
      <c r="L1456" s="17" t="str">
        <f>HYPERLINK("https://maps.google.com/?q=15.746144,-96.465183", "🔗 Ver Mapa")</f>
        <v>🔗 Ver Mapa</v>
      </c>
    </row>
    <row r="1457" spans="1:12" ht="43.5" x14ac:dyDescent="0.35">
      <c r="A1457" s="5" t="s">
        <v>2</v>
      </c>
      <c r="B1457" s="5" t="s">
        <v>15</v>
      </c>
      <c r="C1457" s="5" t="s">
        <v>1191</v>
      </c>
      <c r="D1457" s="8" t="s">
        <v>62</v>
      </c>
      <c r="E1457" s="16" t="s">
        <v>76</v>
      </c>
      <c r="F1457" s="16" t="s">
        <v>85</v>
      </c>
      <c r="G1457" s="8" t="s">
        <v>102</v>
      </c>
      <c r="H1457" s="8" t="s">
        <v>124</v>
      </c>
      <c r="I1457" s="16" t="s">
        <v>138</v>
      </c>
      <c r="J1457" s="16">
        <v>16.237075999999998</v>
      </c>
      <c r="K1457" s="16">
        <v>-97.292351999999994</v>
      </c>
      <c r="L1457" s="16" t="str">
        <f>HYPERLINK("https://maps.google.com/?q=16.237076,-97.292352", "🔗 Ver Mapa")</f>
        <v>🔗 Ver Mapa</v>
      </c>
    </row>
    <row r="1458" spans="1:12" ht="43.5" x14ac:dyDescent="0.35">
      <c r="A1458" s="6" t="s">
        <v>2</v>
      </c>
      <c r="B1458" s="6" t="s">
        <v>15</v>
      </c>
      <c r="C1458" s="6" t="s">
        <v>1191</v>
      </c>
      <c r="D1458" s="11" t="s">
        <v>62</v>
      </c>
      <c r="E1458" s="17" t="s">
        <v>76</v>
      </c>
      <c r="F1458" s="17" t="s">
        <v>85</v>
      </c>
      <c r="G1458" s="11" t="s">
        <v>102</v>
      </c>
      <c r="H1458" s="11" t="s">
        <v>124</v>
      </c>
      <c r="I1458" s="17" t="s">
        <v>138</v>
      </c>
      <c r="J1458" s="17">
        <v>16.433347000000001</v>
      </c>
      <c r="K1458" s="17">
        <v>-95.021687</v>
      </c>
      <c r="L1458" s="17" t="str">
        <f>HYPERLINK("https://maps.google.com/?q=16.433347,-95.021687", "🔗 Ver Mapa")</f>
        <v>🔗 Ver Mapa</v>
      </c>
    </row>
    <row r="1459" spans="1:12" ht="43.5" x14ac:dyDescent="0.35">
      <c r="A1459" s="5" t="s">
        <v>2</v>
      </c>
      <c r="B1459" s="5" t="s">
        <v>15</v>
      </c>
      <c r="C1459" s="5" t="s">
        <v>1191</v>
      </c>
      <c r="D1459" s="8" t="s">
        <v>62</v>
      </c>
      <c r="E1459" s="16" t="s">
        <v>76</v>
      </c>
      <c r="F1459" s="16" t="s">
        <v>85</v>
      </c>
      <c r="G1459" s="8" t="s">
        <v>102</v>
      </c>
      <c r="H1459" s="8" t="s">
        <v>124</v>
      </c>
      <c r="I1459" s="16" t="s">
        <v>138</v>
      </c>
      <c r="J1459" s="16">
        <v>16.500512000000001</v>
      </c>
      <c r="K1459" s="16">
        <v>-96.106790000000004</v>
      </c>
      <c r="L1459" s="16" t="str">
        <f>HYPERLINK("https://maps.google.com/?q=16.500512,-96.10679", "🔗 Ver Mapa")</f>
        <v>🔗 Ver Mapa</v>
      </c>
    </row>
    <row r="1460" spans="1:12" ht="43.5" x14ac:dyDescent="0.35">
      <c r="A1460" s="6" t="s">
        <v>2</v>
      </c>
      <c r="B1460" s="6" t="s">
        <v>15</v>
      </c>
      <c r="C1460" s="6" t="s">
        <v>1191</v>
      </c>
      <c r="D1460" s="11" t="s">
        <v>62</v>
      </c>
      <c r="E1460" s="17" t="s">
        <v>76</v>
      </c>
      <c r="F1460" s="17" t="s">
        <v>85</v>
      </c>
      <c r="G1460" s="11" t="s">
        <v>102</v>
      </c>
      <c r="H1460" s="11" t="s">
        <v>124</v>
      </c>
      <c r="I1460" s="17" t="s">
        <v>138</v>
      </c>
      <c r="J1460" s="17">
        <v>16.564243999999999</v>
      </c>
      <c r="K1460" s="17">
        <v>-96.731829000000005</v>
      </c>
      <c r="L1460" s="17" t="str">
        <f>HYPERLINK("https://maps.google.com/?q=16.564244,-96.731829", "🔗 Ver Mapa")</f>
        <v>🔗 Ver Mapa</v>
      </c>
    </row>
    <row r="1461" spans="1:12" ht="43.5" x14ac:dyDescent="0.35">
      <c r="A1461" s="5" t="s">
        <v>2</v>
      </c>
      <c r="B1461" s="5" t="s">
        <v>15</v>
      </c>
      <c r="C1461" s="5" t="s">
        <v>1191</v>
      </c>
      <c r="D1461" s="8" t="s">
        <v>62</v>
      </c>
      <c r="E1461" s="16" t="s">
        <v>76</v>
      </c>
      <c r="F1461" s="16" t="s">
        <v>85</v>
      </c>
      <c r="G1461" s="8" t="s">
        <v>102</v>
      </c>
      <c r="H1461" s="8" t="s">
        <v>124</v>
      </c>
      <c r="I1461" s="16" t="s">
        <v>138</v>
      </c>
      <c r="J1461" s="16">
        <v>16.950706</v>
      </c>
      <c r="K1461" s="16">
        <v>-96.750504000000006</v>
      </c>
      <c r="L1461" s="16" t="str">
        <f>HYPERLINK("https://maps.google.com/?q=16.950706,-96.750504", "🔗 Ver Mapa")</f>
        <v>🔗 Ver Mapa</v>
      </c>
    </row>
    <row r="1462" spans="1:12" ht="43.5" x14ac:dyDescent="0.35">
      <c r="A1462" s="6" t="s">
        <v>2</v>
      </c>
      <c r="B1462" s="6" t="s">
        <v>15</v>
      </c>
      <c r="C1462" s="6" t="s">
        <v>1191</v>
      </c>
      <c r="D1462" s="11" t="s">
        <v>62</v>
      </c>
      <c r="E1462" s="17" t="s">
        <v>76</v>
      </c>
      <c r="F1462" s="17" t="s">
        <v>85</v>
      </c>
      <c r="G1462" s="11" t="s">
        <v>102</v>
      </c>
      <c r="H1462" s="11" t="s">
        <v>124</v>
      </c>
      <c r="I1462" s="17" t="s">
        <v>138</v>
      </c>
      <c r="J1462" s="17">
        <v>17.267448999999999</v>
      </c>
      <c r="K1462" s="17">
        <v>-97.680485000000004</v>
      </c>
      <c r="L1462" s="17" t="str">
        <f>HYPERLINK("https://maps.google.com/?q=17.267449,-97.680485", "🔗 Ver Mapa")</f>
        <v>🔗 Ver Mapa</v>
      </c>
    </row>
    <row r="1463" spans="1:12" ht="43.5" x14ac:dyDescent="0.35">
      <c r="A1463" s="5" t="s">
        <v>2</v>
      </c>
      <c r="B1463" s="5" t="s">
        <v>15</v>
      </c>
      <c r="C1463" s="5" t="s">
        <v>1191</v>
      </c>
      <c r="D1463" s="8" t="s">
        <v>62</v>
      </c>
      <c r="E1463" s="16" t="s">
        <v>76</v>
      </c>
      <c r="F1463" s="16" t="s">
        <v>85</v>
      </c>
      <c r="G1463" s="8" t="s">
        <v>102</v>
      </c>
      <c r="H1463" s="8" t="s">
        <v>124</v>
      </c>
      <c r="I1463" s="16" t="s">
        <v>138</v>
      </c>
      <c r="J1463" s="16">
        <v>17.335315999999999</v>
      </c>
      <c r="K1463" s="16">
        <v>-98.012051</v>
      </c>
      <c r="L1463" s="16" t="str">
        <f>HYPERLINK("https://maps.google.com/?q=17.335316,-98.012051", "🔗 Ver Mapa")</f>
        <v>🔗 Ver Mapa</v>
      </c>
    </row>
    <row r="1464" spans="1:12" ht="43.5" x14ac:dyDescent="0.35">
      <c r="A1464" s="6" t="s">
        <v>2</v>
      </c>
      <c r="B1464" s="6" t="s">
        <v>15</v>
      </c>
      <c r="C1464" s="6" t="s">
        <v>1191</v>
      </c>
      <c r="D1464" s="11" t="s">
        <v>62</v>
      </c>
      <c r="E1464" s="17" t="s">
        <v>76</v>
      </c>
      <c r="F1464" s="17" t="s">
        <v>85</v>
      </c>
      <c r="G1464" s="11" t="s">
        <v>102</v>
      </c>
      <c r="H1464" s="11" t="s">
        <v>124</v>
      </c>
      <c r="I1464" s="17" t="s">
        <v>138</v>
      </c>
      <c r="J1464" s="17">
        <v>17.501442000000001</v>
      </c>
      <c r="K1464" s="17">
        <v>-98.142583999999999</v>
      </c>
      <c r="L1464" s="17" t="str">
        <f>HYPERLINK("https://maps.google.com/?q=17.501442,-98.142584", "🔗 Ver Mapa")</f>
        <v>🔗 Ver Mapa</v>
      </c>
    </row>
    <row r="1465" spans="1:12" ht="43.5" x14ac:dyDescent="0.35">
      <c r="A1465" s="5" t="s">
        <v>2</v>
      </c>
      <c r="B1465" s="5" t="s">
        <v>15</v>
      </c>
      <c r="C1465" s="5" t="s">
        <v>1191</v>
      </c>
      <c r="D1465" s="8" t="s">
        <v>62</v>
      </c>
      <c r="E1465" s="16" t="s">
        <v>76</v>
      </c>
      <c r="F1465" s="16" t="s">
        <v>85</v>
      </c>
      <c r="G1465" s="8" t="s">
        <v>102</v>
      </c>
      <c r="H1465" s="8" t="s">
        <v>124</v>
      </c>
      <c r="I1465" s="16" t="s">
        <v>138</v>
      </c>
      <c r="J1465" s="16">
        <v>17.724615</v>
      </c>
      <c r="K1465" s="16">
        <v>-97.323898</v>
      </c>
      <c r="L1465" s="16" t="str">
        <f>HYPERLINK("https://maps.google.com/?q=17.724615,-97.323898", "🔗 Ver Mapa")</f>
        <v>🔗 Ver Mapa</v>
      </c>
    </row>
    <row r="1466" spans="1:12" ht="43.5" x14ac:dyDescent="0.35">
      <c r="A1466" s="6" t="s">
        <v>2</v>
      </c>
      <c r="B1466" s="6" t="s">
        <v>15</v>
      </c>
      <c r="C1466" s="6" t="s">
        <v>1192</v>
      </c>
      <c r="D1466" s="11" t="s">
        <v>62</v>
      </c>
      <c r="E1466" s="17" t="s">
        <v>75</v>
      </c>
      <c r="F1466" s="17" t="s">
        <v>86</v>
      </c>
      <c r="G1466" s="11" t="s">
        <v>112</v>
      </c>
      <c r="H1466" s="11" t="s">
        <v>1193</v>
      </c>
      <c r="I1466" s="17" t="s">
        <v>138</v>
      </c>
      <c r="J1466" s="17">
        <v>17.023818726986001</v>
      </c>
      <c r="K1466" s="17">
        <v>-96.716464505608002</v>
      </c>
      <c r="L1466" s="17" t="str">
        <f>HYPERLINK("https://maps.google.com/?q=17.023818726986,-96.716464505608", "🔗 Ver Mapa")</f>
        <v>🔗 Ver Mapa</v>
      </c>
    </row>
    <row r="1467" spans="1:12" ht="43.5" x14ac:dyDescent="0.35">
      <c r="A1467" s="5" t="s">
        <v>2</v>
      </c>
      <c r="B1467" s="5" t="s">
        <v>15</v>
      </c>
      <c r="C1467" s="5" t="s">
        <v>1194</v>
      </c>
      <c r="D1467" s="8" t="s">
        <v>62</v>
      </c>
      <c r="E1467" s="16" t="s">
        <v>76</v>
      </c>
      <c r="F1467" s="16" t="s">
        <v>85</v>
      </c>
      <c r="G1467" s="8" t="s">
        <v>102</v>
      </c>
      <c r="H1467" s="8" t="s">
        <v>124</v>
      </c>
      <c r="I1467" s="16" t="s">
        <v>138</v>
      </c>
      <c r="J1467" s="16">
        <v>15.746143999999999</v>
      </c>
      <c r="K1467" s="16">
        <v>-96.465182999999996</v>
      </c>
      <c r="L1467" s="16" t="str">
        <f>HYPERLINK("https://maps.google.com/?q=15.746144,-96.465183", "🔗 Ver Mapa")</f>
        <v>🔗 Ver Mapa</v>
      </c>
    </row>
    <row r="1468" spans="1:12" ht="43.5" x14ac:dyDescent="0.35">
      <c r="A1468" s="6" t="s">
        <v>2</v>
      </c>
      <c r="B1468" s="6" t="s">
        <v>15</v>
      </c>
      <c r="C1468" s="6" t="s">
        <v>1194</v>
      </c>
      <c r="D1468" s="11" t="s">
        <v>62</v>
      </c>
      <c r="E1468" s="17" t="s">
        <v>76</v>
      </c>
      <c r="F1468" s="17" t="s">
        <v>85</v>
      </c>
      <c r="G1468" s="11" t="s">
        <v>102</v>
      </c>
      <c r="H1468" s="11" t="s">
        <v>124</v>
      </c>
      <c r="I1468" s="17" t="s">
        <v>138</v>
      </c>
      <c r="J1468" s="17">
        <v>16.237075999999998</v>
      </c>
      <c r="K1468" s="17">
        <v>-97.292351999999994</v>
      </c>
      <c r="L1468" s="17" t="str">
        <f>HYPERLINK("https://maps.google.com/?q=16.237076,-97.292352", "🔗 Ver Mapa")</f>
        <v>🔗 Ver Mapa</v>
      </c>
    </row>
    <row r="1469" spans="1:12" ht="43.5" x14ac:dyDescent="0.35">
      <c r="A1469" s="5" t="s">
        <v>2</v>
      </c>
      <c r="B1469" s="5" t="s">
        <v>15</v>
      </c>
      <c r="C1469" s="5" t="s">
        <v>1194</v>
      </c>
      <c r="D1469" s="8" t="s">
        <v>62</v>
      </c>
      <c r="E1469" s="16" t="s">
        <v>76</v>
      </c>
      <c r="F1469" s="16" t="s">
        <v>85</v>
      </c>
      <c r="G1469" s="8" t="s">
        <v>102</v>
      </c>
      <c r="H1469" s="8" t="s">
        <v>124</v>
      </c>
      <c r="I1469" s="16" t="s">
        <v>138</v>
      </c>
      <c r="J1469" s="16">
        <v>16.279057999999999</v>
      </c>
      <c r="K1469" s="16">
        <v>-97.820240999999996</v>
      </c>
      <c r="L1469" s="16" t="str">
        <f>HYPERLINK("https://maps.google.com/?q=16.279058,-97.820241", "🔗 Ver Mapa")</f>
        <v>🔗 Ver Mapa</v>
      </c>
    </row>
    <row r="1470" spans="1:12" ht="43.5" x14ac:dyDescent="0.35">
      <c r="A1470" s="6" t="s">
        <v>2</v>
      </c>
      <c r="B1470" s="6" t="s">
        <v>15</v>
      </c>
      <c r="C1470" s="6" t="s">
        <v>1194</v>
      </c>
      <c r="D1470" s="11" t="s">
        <v>62</v>
      </c>
      <c r="E1470" s="17" t="s">
        <v>76</v>
      </c>
      <c r="F1470" s="17" t="s">
        <v>85</v>
      </c>
      <c r="G1470" s="11" t="s">
        <v>102</v>
      </c>
      <c r="H1470" s="11" t="s">
        <v>124</v>
      </c>
      <c r="I1470" s="17" t="s">
        <v>138</v>
      </c>
      <c r="J1470" s="17">
        <v>16.328751</v>
      </c>
      <c r="K1470" s="17">
        <v>-96.596529000000004</v>
      </c>
      <c r="L1470" s="17" t="str">
        <f>HYPERLINK("https://maps.google.com/?q=16.328751,-96.596529", "🔗 Ver Mapa")</f>
        <v>🔗 Ver Mapa</v>
      </c>
    </row>
    <row r="1471" spans="1:12" ht="43.5" x14ac:dyDescent="0.35">
      <c r="A1471" s="5" t="s">
        <v>2</v>
      </c>
      <c r="B1471" s="5" t="s">
        <v>15</v>
      </c>
      <c r="C1471" s="5" t="s">
        <v>1194</v>
      </c>
      <c r="D1471" s="8" t="s">
        <v>62</v>
      </c>
      <c r="E1471" s="16" t="s">
        <v>76</v>
      </c>
      <c r="F1471" s="16" t="s">
        <v>85</v>
      </c>
      <c r="G1471" s="8" t="s">
        <v>102</v>
      </c>
      <c r="H1471" s="8" t="s">
        <v>124</v>
      </c>
      <c r="I1471" s="16" t="s">
        <v>138</v>
      </c>
      <c r="J1471" s="16">
        <v>16.332014000000001</v>
      </c>
      <c r="K1471" s="16">
        <v>-95.231966</v>
      </c>
      <c r="L1471" s="16" t="str">
        <f>HYPERLINK("https://maps.google.com/?q=16.332014,-95.231966", "🔗 Ver Mapa")</f>
        <v>🔗 Ver Mapa</v>
      </c>
    </row>
    <row r="1472" spans="1:12" ht="43.5" x14ac:dyDescent="0.35">
      <c r="A1472" s="6" t="s">
        <v>2</v>
      </c>
      <c r="B1472" s="6" t="s">
        <v>15</v>
      </c>
      <c r="C1472" s="6" t="s">
        <v>1194</v>
      </c>
      <c r="D1472" s="11" t="s">
        <v>62</v>
      </c>
      <c r="E1472" s="17" t="s">
        <v>76</v>
      </c>
      <c r="F1472" s="17" t="s">
        <v>85</v>
      </c>
      <c r="G1472" s="11" t="s">
        <v>102</v>
      </c>
      <c r="H1472" s="11" t="s">
        <v>124</v>
      </c>
      <c r="I1472" s="17" t="s">
        <v>138</v>
      </c>
      <c r="J1472" s="17">
        <v>16.433347000000001</v>
      </c>
      <c r="K1472" s="17">
        <v>-95.021687</v>
      </c>
      <c r="L1472" s="17" t="str">
        <f>HYPERLINK("https://maps.google.com/?q=16.433347,-95.021687", "🔗 Ver Mapa")</f>
        <v>🔗 Ver Mapa</v>
      </c>
    </row>
    <row r="1473" spans="1:12" ht="43.5" x14ac:dyDescent="0.35">
      <c r="A1473" s="5" t="s">
        <v>2</v>
      </c>
      <c r="B1473" s="5" t="s">
        <v>15</v>
      </c>
      <c r="C1473" s="5" t="s">
        <v>1194</v>
      </c>
      <c r="D1473" s="8" t="s">
        <v>62</v>
      </c>
      <c r="E1473" s="16" t="s">
        <v>76</v>
      </c>
      <c r="F1473" s="16" t="s">
        <v>85</v>
      </c>
      <c r="G1473" s="8" t="s">
        <v>102</v>
      </c>
      <c r="H1473" s="8" t="s">
        <v>124</v>
      </c>
      <c r="I1473" s="16" t="s">
        <v>138</v>
      </c>
      <c r="J1473" s="16">
        <v>16.500512000000001</v>
      </c>
      <c r="K1473" s="16">
        <v>-96.106790000000004</v>
      </c>
      <c r="L1473" s="16" t="str">
        <f>HYPERLINK("https://maps.google.com/?q=16.500512,-96.10679", "🔗 Ver Mapa")</f>
        <v>🔗 Ver Mapa</v>
      </c>
    </row>
    <row r="1474" spans="1:12" ht="43.5" x14ac:dyDescent="0.35">
      <c r="A1474" s="6" t="s">
        <v>2</v>
      </c>
      <c r="B1474" s="6" t="s">
        <v>15</v>
      </c>
      <c r="C1474" s="6" t="s">
        <v>1194</v>
      </c>
      <c r="D1474" s="11" t="s">
        <v>62</v>
      </c>
      <c r="E1474" s="17" t="s">
        <v>76</v>
      </c>
      <c r="F1474" s="17" t="s">
        <v>85</v>
      </c>
      <c r="G1474" s="11" t="s">
        <v>102</v>
      </c>
      <c r="H1474" s="11" t="s">
        <v>124</v>
      </c>
      <c r="I1474" s="17" t="s">
        <v>138</v>
      </c>
      <c r="J1474" s="17">
        <v>16.519807</v>
      </c>
      <c r="K1474" s="17">
        <v>-96.983885000000001</v>
      </c>
      <c r="L1474" s="17" t="str">
        <f>HYPERLINK("https://maps.google.com/?q=16.519807,-96.983885", "🔗 Ver Mapa")</f>
        <v>🔗 Ver Mapa</v>
      </c>
    </row>
    <row r="1475" spans="1:12" ht="43.5" x14ac:dyDescent="0.35">
      <c r="A1475" s="5" t="s">
        <v>2</v>
      </c>
      <c r="B1475" s="5" t="s">
        <v>15</v>
      </c>
      <c r="C1475" s="5" t="s">
        <v>1194</v>
      </c>
      <c r="D1475" s="8" t="s">
        <v>62</v>
      </c>
      <c r="E1475" s="16" t="s">
        <v>76</v>
      </c>
      <c r="F1475" s="16" t="s">
        <v>85</v>
      </c>
      <c r="G1475" s="8" t="s">
        <v>102</v>
      </c>
      <c r="H1475" s="8" t="s">
        <v>124</v>
      </c>
      <c r="I1475" s="16" t="s">
        <v>138</v>
      </c>
      <c r="J1475" s="16">
        <v>16.564243999999999</v>
      </c>
      <c r="K1475" s="16">
        <v>-96.731829000000005</v>
      </c>
      <c r="L1475" s="16" t="str">
        <f>HYPERLINK("https://maps.google.com/?q=16.564244,-96.731829", "🔗 Ver Mapa")</f>
        <v>🔗 Ver Mapa</v>
      </c>
    </row>
    <row r="1476" spans="1:12" ht="43.5" x14ac:dyDescent="0.35">
      <c r="A1476" s="6" t="s">
        <v>2</v>
      </c>
      <c r="B1476" s="6" t="s">
        <v>15</v>
      </c>
      <c r="C1476" s="6" t="s">
        <v>1194</v>
      </c>
      <c r="D1476" s="11" t="s">
        <v>62</v>
      </c>
      <c r="E1476" s="17" t="s">
        <v>76</v>
      </c>
      <c r="F1476" s="17" t="s">
        <v>85</v>
      </c>
      <c r="G1476" s="11" t="s">
        <v>102</v>
      </c>
      <c r="H1476" s="11" t="s">
        <v>124</v>
      </c>
      <c r="I1476" s="17" t="s">
        <v>138</v>
      </c>
      <c r="J1476" s="17">
        <v>16.791625</v>
      </c>
      <c r="K1476" s="17">
        <v>-96.674999</v>
      </c>
      <c r="L1476" s="17" t="str">
        <f>HYPERLINK("https://maps.google.com/?q=16.791625,-96.674999", "🔗 Ver Mapa")</f>
        <v>🔗 Ver Mapa</v>
      </c>
    </row>
    <row r="1477" spans="1:12" ht="43.5" x14ac:dyDescent="0.35">
      <c r="A1477" s="5" t="s">
        <v>2</v>
      </c>
      <c r="B1477" s="5" t="s">
        <v>15</v>
      </c>
      <c r="C1477" s="5" t="s">
        <v>1194</v>
      </c>
      <c r="D1477" s="8" t="s">
        <v>62</v>
      </c>
      <c r="E1477" s="16" t="s">
        <v>76</v>
      </c>
      <c r="F1477" s="16" t="s">
        <v>85</v>
      </c>
      <c r="G1477" s="8" t="s">
        <v>102</v>
      </c>
      <c r="H1477" s="8" t="s">
        <v>124</v>
      </c>
      <c r="I1477" s="16" t="s">
        <v>138</v>
      </c>
      <c r="J1477" s="16">
        <v>16.866371000000001</v>
      </c>
      <c r="K1477" s="16">
        <v>-96.785623000000001</v>
      </c>
      <c r="L1477" s="16" t="str">
        <f>HYPERLINK("https://maps.google.com/?q=16.866371,-96.785623", "🔗 Ver Mapa")</f>
        <v>🔗 Ver Mapa</v>
      </c>
    </row>
    <row r="1478" spans="1:12" ht="43.5" x14ac:dyDescent="0.35">
      <c r="A1478" s="6" t="s">
        <v>2</v>
      </c>
      <c r="B1478" s="6" t="s">
        <v>15</v>
      </c>
      <c r="C1478" s="6" t="s">
        <v>1194</v>
      </c>
      <c r="D1478" s="11" t="s">
        <v>62</v>
      </c>
      <c r="E1478" s="17" t="s">
        <v>76</v>
      </c>
      <c r="F1478" s="17" t="s">
        <v>85</v>
      </c>
      <c r="G1478" s="11" t="s">
        <v>102</v>
      </c>
      <c r="H1478" s="11" t="s">
        <v>124</v>
      </c>
      <c r="I1478" s="17" t="s">
        <v>138</v>
      </c>
      <c r="J1478" s="17">
        <v>16.950706</v>
      </c>
      <c r="K1478" s="17">
        <v>-96.750504000000006</v>
      </c>
      <c r="L1478" s="17" t="str">
        <f>HYPERLINK("https://maps.google.com/?q=16.950706,-96.750504", "🔗 Ver Mapa")</f>
        <v>🔗 Ver Mapa</v>
      </c>
    </row>
    <row r="1479" spans="1:12" ht="43.5" x14ac:dyDescent="0.35">
      <c r="A1479" s="5" t="s">
        <v>2</v>
      </c>
      <c r="B1479" s="5" t="s">
        <v>15</v>
      </c>
      <c r="C1479" s="5" t="s">
        <v>1194</v>
      </c>
      <c r="D1479" s="8" t="s">
        <v>62</v>
      </c>
      <c r="E1479" s="16" t="s">
        <v>76</v>
      </c>
      <c r="F1479" s="16" t="s">
        <v>85</v>
      </c>
      <c r="G1479" s="8" t="s">
        <v>102</v>
      </c>
      <c r="H1479" s="8" t="s">
        <v>124</v>
      </c>
      <c r="I1479" s="16" t="s">
        <v>138</v>
      </c>
      <c r="J1479" s="16">
        <v>16.955580000000001</v>
      </c>
      <c r="K1479" s="16">
        <v>-96.479206000000005</v>
      </c>
      <c r="L1479" s="16" t="str">
        <f>HYPERLINK("https://maps.google.com/?q=16.95558,-96.479206", "🔗 Ver Mapa")</f>
        <v>🔗 Ver Mapa</v>
      </c>
    </row>
    <row r="1480" spans="1:12" ht="43.5" x14ac:dyDescent="0.35">
      <c r="A1480" s="6" t="s">
        <v>2</v>
      </c>
      <c r="B1480" s="6" t="s">
        <v>15</v>
      </c>
      <c r="C1480" s="6" t="s">
        <v>1194</v>
      </c>
      <c r="D1480" s="11" t="s">
        <v>62</v>
      </c>
      <c r="E1480" s="17" t="s">
        <v>76</v>
      </c>
      <c r="F1480" s="17" t="s">
        <v>85</v>
      </c>
      <c r="G1480" s="11" t="s">
        <v>102</v>
      </c>
      <c r="H1480" s="11" t="s">
        <v>124</v>
      </c>
      <c r="I1480" s="17" t="s">
        <v>138</v>
      </c>
      <c r="J1480" s="17">
        <v>17.026216000000002</v>
      </c>
      <c r="K1480" s="17">
        <v>-97.928115000000005</v>
      </c>
      <c r="L1480" s="17" t="str">
        <f>HYPERLINK("https://maps.google.com/?q=17.026216,-97.928115", "🔗 Ver Mapa")</f>
        <v>🔗 Ver Mapa</v>
      </c>
    </row>
    <row r="1481" spans="1:12" ht="43.5" x14ac:dyDescent="0.35">
      <c r="A1481" s="5" t="s">
        <v>2</v>
      </c>
      <c r="B1481" s="5" t="s">
        <v>15</v>
      </c>
      <c r="C1481" s="5" t="s">
        <v>1194</v>
      </c>
      <c r="D1481" s="8" t="s">
        <v>62</v>
      </c>
      <c r="E1481" s="16" t="s">
        <v>76</v>
      </c>
      <c r="F1481" s="16" t="s">
        <v>85</v>
      </c>
      <c r="G1481" s="8" t="s">
        <v>102</v>
      </c>
      <c r="H1481" s="8" t="s">
        <v>124</v>
      </c>
      <c r="I1481" s="16" t="s">
        <v>138</v>
      </c>
      <c r="J1481" s="16">
        <v>17.027131000000001</v>
      </c>
      <c r="K1481" s="16">
        <v>-96.077044000000001</v>
      </c>
      <c r="L1481" s="16" t="str">
        <f>HYPERLINK("https://maps.google.com/?q=17.027131,-96.077044", "🔗 Ver Mapa")</f>
        <v>🔗 Ver Mapa</v>
      </c>
    </row>
    <row r="1482" spans="1:12" ht="43.5" x14ac:dyDescent="0.35">
      <c r="A1482" s="6" t="s">
        <v>2</v>
      </c>
      <c r="B1482" s="6" t="s">
        <v>15</v>
      </c>
      <c r="C1482" s="6" t="s">
        <v>1194</v>
      </c>
      <c r="D1482" s="11" t="s">
        <v>62</v>
      </c>
      <c r="E1482" s="17" t="s">
        <v>76</v>
      </c>
      <c r="F1482" s="17" t="s">
        <v>85</v>
      </c>
      <c r="G1482" s="11" t="s">
        <v>102</v>
      </c>
      <c r="H1482" s="11" t="s">
        <v>124</v>
      </c>
      <c r="I1482" s="17" t="s">
        <v>138</v>
      </c>
      <c r="J1482" s="17">
        <v>17.063777999999999</v>
      </c>
      <c r="K1482" s="17">
        <v>-96.729971000000006</v>
      </c>
      <c r="L1482" s="17" t="str">
        <f>HYPERLINK("https://maps.google.com/?q=17.063778,-96.729971", "🔗 Ver Mapa")</f>
        <v>🔗 Ver Mapa</v>
      </c>
    </row>
    <row r="1483" spans="1:12" ht="43.5" x14ac:dyDescent="0.35">
      <c r="A1483" s="5" t="s">
        <v>2</v>
      </c>
      <c r="B1483" s="5" t="s">
        <v>15</v>
      </c>
      <c r="C1483" s="5" t="s">
        <v>1194</v>
      </c>
      <c r="D1483" s="8" t="s">
        <v>62</v>
      </c>
      <c r="E1483" s="16" t="s">
        <v>76</v>
      </c>
      <c r="F1483" s="16" t="s">
        <v>85</v>
      </c>
      <c r="G1483" s="8" t="s">
        <v>102</v>
      </c>
      <c r="H1483" s="8" t="s">
        <v>124</v>
      </c>
      <c r="I1483" s="16" t="s">
        <v>138</v>
      </c>
      <c r="J1483" s="16">
        <v>17.207464000000002</v>
      </c>
      <c r="K1483" s="16">
        <v>-96.801094000000006</v>
      </c>
      <c r="L1483" s="16" t="str">
        <f>HYPERLINK("https://maps.google.com/?q=17.207464,-96.801094", "🔗 Ver Mapa")</f>
        <v>🔗 Ver Mapa</v>
      </c>
    </row>
    <row r="1484" spans="1:12" ht="43.5" x14ac:dyDescent="0.35">
      <c r="A1484" s="6" t="s">
        <v>2</v>
      </c>
      <c r="B1484" s="6" t="s">
        <v>15</v>
      </c>
      <c r="C1484" s="6" t="s">
        <v>1194</v>
      </c>
      <c r="D1484" s="11" t="s">
        <v>62</v>
      </c>
      <c r="E1484" s="17" t="s">
        <v>76</v>
      </c>
      <c r="F1484" s="17" t="s">
        <v>85</v>
      </c>
      <c r="G1484" s="11" t="s">
        <v>102</v>
      </c>
      <c r="H1484" s="11" t="s">
        <v>124</v>
      </c>
      <c r="I1484" s="17" t="s">
        <v>138</v>
      </c>
      <c r="J1484" s="17">
        <v>17.267448999999999</v>
      </c>
      <c r="K1484" s="17">
        <v>-97.680485000000004</v>
      </c>
      <c r="L1484" s="17" t="str">
        <f>HYPERLINK("https://maps.google.com/?q=17.267449,-97.680485", "🔗 Ver Mapa")</f>
        <v>🔗 Ver Mapa</v>
      </c>
    </row>
    <row r="1485" spans="1:12" ht="43.5" x14ac:dyDescent="0.35">
      <c r="A1485" s="5" t="s">
        <v>2</v>
      </c>
      <c r="B1485" s="5" t="s">
        <v>15</v>
      </c>
      <c r="C1485" s="5" t="s">
        <v>1194</v>
      </c>
      <c r="D1485" s="8" t="s">
        <v>62</v>
      </c>
      <c r="E1485" s="16" t="s">
        <v>76</v>
      </c>
      <c r="F1485" s="16" t="s">
        <v>85</v>
      </c>
      <c r="G1485" s="8" t="s">
        <v>102</v>
      </c>
      <c r="H1485" s="8" t="s">
        <v>124</v>
      </c>
      <c r="I1485" s="16" t="s">
        <v>138</v>
      </c>
      <c r="J1485" s="16">
        <v>17.331247999999999</v>
      </c>
      <c r="K1485" s="16">
        <v>-96.487900999999994</v>
      </c>
      <c r="L1485" s="16" t="str">
        <f>HYPERLINK("https://maps.google.com/?q=17.331248,-96.487901", "🔗 Ver Mapa")</f>
        <v>🔗 Ver Mapa</v>
      </c>
    </row>
    <row r="1486" spans="1:12" ht="43.5" x14ac:dyDescent="0.35">
      <c r="A1486" s="6" t="s">
        <v>2</v>
      </c>
      <c r="B1486" s="6" t="s">
        <v>15</v>
      </c>
      <c r="C1486" s="6" t="s">
        <v>1194</v>
      </c>
      <c r="D1486" s="11" t="s">
        <v>62</v>
      </c>
      <c r="E1486" s="17" t="s">
        <v>76</v>
      </c>
      <c r="F1486" s="17" t="s">
        <v>85</v>
      </c>
      <c r="G1486" s="11" t="s">
        <v>102</v>
      </c>
      <c r="H1486" s="11" t="s">
        <v>124</v>
      </c>
      <c r="I1486" s="17" t="s">
        <v>138</v>
      </c>
      <c r="J1486" s="17">
        <v>17.335315999999999</v>
      </c>
      <c r="K1486" s="17">
        <v>-98.012051</v>
      </c>
      <c r="L1486" s="17" t="str">
        <f>HYPERLINK("https://maps.google.com/?q=17.335316,-98.012051", "🔗 Ver Mapa")</f>
        <v>🔗 Ver Mapa</v>
      </c>
    </row>
    <row r="1487" spans="1:12" ht="43.5" x14ac:dyDescent="0.35">
      <c r="A1487" s="5" t="s">
        <v>2</v>
      </c>
      <c r="B1487" s="5" t="s">
        <v>15</v>
      </c>
      <c r="C1487" s="5" t="s">
        <v>1194</v>
      </c>
      <c r="D1487" s="8" t="s">
        <v>62</v>
      </c>
      <c r="E1487" s="16" t="s">
        <v>76</v>
      </c>
      <c r="F1487" s="16" t="s">
        <v>85</v>
      </c>
      <c r="G1487" s="8" t="s">
        <v>102</v>
      </c>
      <c r="H1487" s="8" t="s">
        <v>124</v>
      </c>
      <c r="I1487" s="16" t="s">
        <v>138</v>
      </c>
      <c r="J1487" s="16">
        <v>17.338730000000002</v>
      </c>
      <c r="K1487" s="16">
        <v>-96.152553999999995</v>
      </c>
      <c r="L1487" s="16" t="str">
        <f>HYPERLINK("https://maps.google.com/?q=17.33873,-96.152554", "🔗 Ver Mapa")</f>
        <v>🔗 Ver Mapa</v>
      </c>
    </row>
    <row r="1488" spans="1:12" ht="43.5" x14ac:dyDescent="0.35">
      <c r="A1488" s="6" t="s">
        <v>2</v>
      </c>
      <c r="B1488" s="6" t="s">
        <v>15</v>
      </c>
      <c r="C1488" s="6" t="s">
        <v>1194</v>
      </c>
      <c r="D1488" s="11" t="s">
        <v>62</v>
      </c>
      <c r="E1488" s="17" t="s">
        <v>76</v>
      </c>
      <c r="F1488" s="17" t="s">
        <v>85</v>
      </c>
      <c r="G1488" s="11" t="s">
        <v>102</v>
      </c>
      <c r="H1488" s="11" t="s">
        <v>124</v>
      </c>
      <c r="I1488" s="17" t="s">
        <v>138</v>
      </c>
      <c r="J1488" s="17">
        <v>17.361765999999999</v>
      </c>
      <c r="K1488" s="17">
        <v>-95.922253999999995</v>
      </c>
      <c r="L1488" s="17" t="str">
        <f>HYPERLINK("https://maps.google.com/?q=17.361766,-95.922254", "🔗 Ver Mapa")</f>
        <v>🔗 Ver Mapa</v>
      </c>
    </row>
    <row r="1489" spans="1:12" ht="43.5" x14ac:dyDescent="0.35">
      <c r="A1489" s="5" t="s">
        <v>2</v>
      </c>
      <c r="B1489" s="5" t="s">
        <v>15</v>
      </c>
      <c r="C1489" s="5" t="s">
        <v>1194</v>
      </c>
      <c r="D1489" s="8" t="s">
        <v>62</v>
      </c>
      <c r="E1489" s="16" t="s">
        <v>76</v>
      </c>
      <c r="F1489" s="16" t="s">
        <v>85</v>
      </c>
      <c r="G1489" s="8" t="s">
        <v>102</v>
      </c>
      <c r="H1489" s="8" t="s">
        <v>124</v>
      </c>
      <c r="I1489" s="16" t="s">
        <v>138</v>
      </c>
      <c r="J1489" s="16">
        <v>17.458341000000001</v>
      </c>
      <c r="K1489" s="16">
        <v>-97.225285</v>
      </c>
      <c r="L1489" s="16" t="str">
        <f>HYPERLINK("https://maps.google.com/?q=17.458341,-97.225285", "🔗 Ver Mapa")</f>
        <v>🔗 Ver Mapa</v>
      </c>
    </row>
    <row r="1490" spans="1:12" ht="43.5" x14ac:dyDescent="0.35">
      <c r="A1490" s="6" t="s">
        <v>2</v>
      </c>
      <c r="B1490" s="6" t="s">
        <v>15</v>
      </c>
      <c r="C1490" s="6" t="s">
        <v>1194</v>
      </c>
      <c r="D1490" s="11" t="s">
        <v>62</v>
      </c>
      <c r="E1490" s="17" t="s">
        <v>76</v>
      </c>
      <c r="F1490" s="17" t="s">
        <v>85</v>
      </c>
      <c r="G1490" s="11" t="s">
        <v>102</v>
      </c>
      <c r="H1490" s="11" t="s">
        <v>124</v>
      </c>
      <c r="I1490" s="17" t="s">
        <v>138</v>
      </c>
      <c r="J1490" s="17">
        <v>17.501442000000001</v>
      </c>
      <c r="K1490" s="17">
        <v>-98.142583999999999</v>
      </c>
      <c r="L1490" s="17" t="str">
        <f>HYPERLINK("https://maps.google.com/?q=17.501442,-98.142584", "🔗 Ver Mapa")</f>
        <v>🔗 Ver Mapa</v>
      </c>
    </row>
    <row r="1491" spans="1:12" ht="43.5" x14ac:dyDescent="0.35">
      <c r="A1491" s="5" t="s">
        <v>2</v>
      </c>
      <c r="B1491" s="5" t="s">
        <v>15</v>
      </c>
      <c r="C1491" s="5" t="s">
        <v>1194</v>
      </c>
      <c r="D1491" s="8" t="s">
        <v>62</v>
      </c>
      <c r="E1491" s="16" t="s">
        <v>76</v>
      </c>
      <c r="F1491" s="16" t="s">
        <v>85</v>
      </c>
      <c r="G1491" s="8" t="s">
        <v>102</v>
      </c>
      <c r="H1491" s="8" t="s">
        <v>124</v>
      </c>
      <c r="I1491" s="16" t="s">
        <v>138</v>
      </c>
      <c r="J1491" s="16">
        <v>17.511838000000001</v>
      </c>
      <c r="K1491" s="16">
        <v>-97.488547999999994</v>
      </c>
      <c r="L1491" s="16" t="str">
        <f>HYPERLINK("https://maps.google.com/?q=17.511838,-97.488548", "🔗 Ver Mapa")</f>
        <v>🔗 Ver Mapa</v>
      </c>
    </row>
    <row r="1492" spans="1:12" ht="43.5" x14ac:dyDescent="0.35">
      <c r="A1492" s="6" t="s">
        <v>2</v>
      </c>
      <c r="B1492" s="6" t="s">
        <v>15</v>
      </c>
      <c r="C1492" s="6" t="s">
        <v>1194</v>
      </c>
      <c r="D1492" s="11" t="s">
        <v>62</v>
      </c>
      <c r="E1492" s="17" t="s">
        <v>76</v>
      </c>
      <c r="F1492" s="17" t="s">
        <v>85</v>
      </c>
      <c r="G1492" s="11" t="s">
        <v>102</v>
      </c>
      <c r="H1492" s="11" t="s">
        <v>124</v>
      </c>
      <c r="I1492" s="17" t="s">
        <v>138</v>
      </c>
      <c r="J1492" s="17">
        <v>17.724615</v>
      </c>
      <c r="K1492" s="17">
        <v>-97.323898</v>
      </c>
      <c r="L1492" s="17" t="str">
        <f>HYPERLINK("https://maps.google.com/?q=17.724615,-97.323898", "🔗 Ver Mapa")</f>
        <v>🔗 Ver Mapa</v>
      </c>
    </row>
    <row r="1493" spans="1:12" ht="43.5" x14ac:dyDescent="0.35">
      <c r="A1493" s="5" t="s">
        <v>2</v>
      </c>
      <c r="B1493" s="5" t="s">
        <v>15</v>
      </c>
      <c r="C1493" s="5" t="s">
        <v>1194</v>
      </c>
      <c r="D1493" s="8" t="s">
        <v>62</v>
      </c>
      <c r="E1493" s="16" t="s">
        <v>76</v>
      </c>
      <c r="F1493" s="16" t="s">
        <v>85</v>
      </c>
      <c r="G1493" s="8" t="s">
        <v>102</v>
      </c>
      <c r="H1493" s="8" t="s">
        <v>124</v>
      </c>
      <c r="I1493" s="16" t="s">
        <v>138</v>
      </c>
      <c r="J1493" s="16">
        <v>17.801687000000001</v>
      </c>
      <c r="K1493" s="16">
        <v>-96.959688</v>
      </c>
      <c r="L1493" s="16" t="str">
        <f>HYPERLINK("https://maps.google.com/?q=17.801687,-96.959688", "🔗 Ver Mapa")</f>
        <v>🔗 Ver Mapa</v>
      </c>
    </row>
    <row r="1494" spans="1:12" ht="43.5" x14ac:dyDescent="0.35">
      <c r="A1494" s="6" t="s">
        <v>2</v>
      </c>
      <c r="B1494" s="6" t="s">
        <v>15</v>
      </c>
      <c r="C1494" s="6" t="s">
        <v>1194</v>
      </c>
      <c r="D1494" s="11" t="s">
        <v>62</v>
      </c>
      <c r="E1494" s="17" t="s">
        <v>76</v>
      </c>
      <c r="F1494" s="17" t="s">
        <v>85</v>
      </c>
      <c r="G1494" s="11" t="s">
        <v>102</v>
      </c>
      <c r="H1494" s="11" t="s">
        <v>124</v>
      </c>
      <c r="I1494" s="17" t="s">
        <v>138</v>
      </c>
      <c r="J1494" s="17">
        <v>17.806621</v>
      </c>
      <c r="K1494" s="17">
        <v>-97.776161999999999</v>
      </c>
      <c r="L1494" s="17" t="str">
        <f>HYPERLINK("https://maps.google.com/?q=17.806621,-97.776162", "🔗 Ver Mapa")</f>
        <v>🔗 Ver Mapa</v>
      </c>
    </row>
    <row r="1495" spans="1:12" ht="43.5" x14ac:dyDescent="0.35">
      <c r="A1495" s="5" t="s">
        <v>2</v>
      </c>
      <c r="B1495" s="5" t="s">
        <v>15</v>
      </c>
      <c r="C1495" s="5" t="s">
        <v>1194</v>
      </c>
      <c r="D1495" s="8" t="s">
        <v>62</v>
      </c>
      <c r="E1495" s="16" t="s">
        <v>76</v>
      </c>
      <c r="F1495" s="16" t="s">
        <v>85</v>
      </c>
      <c r="G1495" s="8" t="s">
        <v>102</v>
      </c>
      <c r="H1495" s="8" t="s">
        <v>124</v>
      </c>
      <c r="I1495" s="16" t="s">
        <v>138</v>
      </c>
      <c r="J1495" s="16">
        <v>18.081168999999999</v>
      </c>
      <c r="K1495" s="16">
        <v>-96.118475000000004</v>
      </c>
      <c r="L1495" s="16" t="str">
        <f>HYPERLINK("https://maps.google.com/?q=18.081169,-96.118475", "🔗 Ver Mapa")</f>
        <v>🔗 Ver Mapa</v>
      </c>
    </row>
    <row r="1496" spans="1:12" ht="43.5" x14ac:dyDescent="0.35">
      <c r="A1496" s="6" t="s">
        <v>2</v>
      </c>
      <c r="B1496" s="6" t="s">
        <v>15</v>
      </c>
      <c r="C1496" s="6" t="s">
        <v>1194</v>
      </c>
      <c r="D1496" s="11" t="s">
        <v>62</v>
      </c>
      <c r="E1496" s="17" t="s">
        <v>76</v>
      </c>
      <c r="F1496" s="17" t="s">
        <v>85</v>
      </c>
      <c r="G1496" s="11" t="s">
        <v>102</v>
      </c>
      <c r="H1496" s="11" t="s">
        <v>124</v>
      </c>
      <c r="I1496" s="17" t="s">
        <v>138</v>
      </c>
      <c r="J1496" s="17">
        <v>18.13222</v>
      </c>
      <c r="K1496" s="17">
        <v>-97.070751000000001</v>
      </c>
      <c r="L1496" s="17" t="str">
        <f>HYPERLINK("https://maps.google.com/?q=18.13222,-97.070751", "🔗 Ver Mapa")</f>
        <v>🔗 Ver Mapa</v>
      </c>
    </row>
    <row r="1497" spans="1:12" ht="29" x14ac:dyDescent="0.35">
      <c r="A1497" s="5" t="s">
        <v>569</v>
      </c>
      <c r="B1497" s="5" t="s">
        <v>570</v>
      </c>
      <c r="C1497" s="5" t="s">
        <v>1195</v>
      </c>
      <c r="D1497" s="8" t="s">
        <v>68</v>
      </c>
      <c r="E1497" s="16" t="s">
        <v>75</v>
      </c>
      <c r="F1497" s="16" t="s">
        <v>86</v>
      </c>
      <c r="G1497" s="8" t="s">
        <v>748</v>
      </c>
      <c r="H1497" s="8" t="s">
        <v>1196</v>
      </c>
      <c r="I1497" s="16" t="s">
        <v>138</v>
      </c>
      <c r="J1497" s="16">
        <v>17.102961000000001</v>
      </c>
      <c r="K1497" s="16">
        <v>-96.779657</v>
      </c>
      <c r="L1497" s="16" t="str">
        <f>HYPERLINK("https://maps.google.com/?q=17.102961,-96.779657", "🔗 Ver Mapa")</f>
        <v>🔗 Ver Mapa</v>
      </c>
    </row>
    <row r="1498" spans="1:12" ht="29" x14ac:dyDescent="0.35">
      <c r="A1498" s="6" t="s">
        <v>569</v>
      </c>
      <c r="B1498" s="6" t="s">
        <v>570</v>
      </c>
      <c r="C1498" s="6" t="s">
        <v>1197</v>
      </c>
      <c r="D1498" s="11" t="s">
        <v>68</v>
      </c>
      <c r="E1498" s="17" t="s">
        <v>75</v>
      </c>
      <c r="F1498" s="17" t="s">
        <v>149</v>
      </c>
      <c r="G1498" s="11" t="s">
        <v>1198</v>
      </c>
      <c r="H1498" s="11" t="s">
        <v>1199</v>
      </c>
      <c r="I1498" s="17" t="s">
        <v>138</v>
      </c>
      <c r="J1498" s="17">
        <v>16.858730000000001</v>
      </c>
      <c r="K1498" s="17">
        <v>-96.694991999999999</v>
      </c>
      <c r="L1498" s="17" t="str">
        <f>HYPERLINK("https://maps.google.com/?q=16.85873,-96.694992", "🔗 Ver Mapa")</f>
        <v>🔗 Ver Mapa</v>
      </c>
    </row>
    <row r="1499" spans="1:12" ht="29" x14ac:dyDescent="0.35">
      <c r="A1499" s="5" t="s">
        <v>569</v>
      </c>
      <c r="B1499" s="5" t="s">
        <v>570</v>
      </c>
      <c r="C1499" s="5" t="s">
        <v>1200</v>
      </c>
      <c r="D1499" s="8" t="s">
        <v>68</v>
      </c>
      <c r="E1499" s="16" t="s">
        <v>75</v>
      </c>
      <c r="F1499" s="16" t="s">
        <v>86</v>
      </c>
      <c r="G1499" s="8" t="s">
        <v>112</v>
      </c>
      <c r="H1499" s="8" t="s">
        <v>552</v>
      </c>
      <c r="I1499" s="16" t="s">
        <v>138</v>
      </c>
      <c r="J1499" s="16">
        <v>17.039370000000002</v>
      </c>
      <c r="K1499" s="16">
        <v>-96.790338000000006</v>
      </c>
      <c r="L1499" s="16" t="str">
        <f>HYPERLINK("https://maps.google.com/?q=17.03937,-96.790338", "🔗 Ver Mapa")</f>
        <v>🔗 Ver Mapa</v>
      </c>
    </row>
    <row r="1500" spans="1:12" ht="29" x14ac:dyDescent="0.35">
      <c r="A1500" s="6" t="s">
        <v>569</v>
      </c>
      <c r="B1500" s="6" t="s">
        <v>570</v>
      </c>
      <c r="C1500" s="6" t="s">
        <v>1201</v>
      </c>
      <c r="D1500" s="11" t="s">
        <v>68</v>
      </c>
      <c r="E1500" s="17" t="s">
        <v>75</v>
      </c>
      <c r="F1500" s="17" t="s">
        <v>86</v>
      </c>
      <c r="G1500" s="11" t="s">
        <v>103</v>
      </c>
      <c r="H1500" s="11" t="s">
        <v>125</v>
      </c>
      <c r="I1500" s="17" t="s">
        <v>138</v>
      </c>
      <c r="J1500" s="17">
        <v>17.063666000000001</v>
      </c>
      <c r="K1500" s="17">
        <v>-96.729577000000006</v>
      </c>
      <c r="L1500" s="17" t="str">
        <f>HYPERLINK("https://maps.google.com/?q=17.063666,-96.729577", "🔗 Ver Mapa")</f>
        <v>🔗 Ver Mapa</v>
      </c>
    </row>
    <row r="1501" spans="1:12" ht="43.5" x14ac:dyDescent="0.35">
      <c r="A1501" s="5" t="s">
        <v>569</v>
      </c>
      <c r="B1501" s="5" t="s">
        <v>570</v>
      </c>
      <c r="C1501" s="5" t="s">
        <v>1202</v>
      </c>
      <c r="D1501" s="8" t="s">
        <v>68</v>
      </c>
      <c r="E1501" s="16" t="s">
        <v>78</v>
      </c>
      <c r="F1501" s="16" t="s">
        <v>399</v>
      </c>
      <c r="G1501" s="8" t="s">
        <v>1203</v>
      </c>
      <c r="H1501" s="8" t="s">
        <v>1204</v>
      </c>
      <c r="I1501" s="16" t="s">
        <v>138</v>
      </c>
      <c r="J1501" s="16">
        <v>17.119273</v>
      </c>
      <c r="K1501" s="16">
        <v>-96.451938999999996</v>
      </c>
      <c r="L1501" s="16" t="str">
        <f>HYPERLINK("https://maps.google.com/?q=17.119273,-96.451939", "🔗 Ver Mapa")</f>
        <v>🔗 Ver Mapa</v>
      </c>
    </row>
    <row r="1502" spans="1:12" ht="43.5" x14ac:dyDescent="0.35">
      <c r="A1502" s="6" t="s">
        <v>569</v>
      </c>
      <c r="B1502" s="6" t="s">
        <v>570</v>
      </c>
      <c r="C1502" s="6" t="s">
        <v>1205</v>
      </c>
      <c r="D1502" s="11" t="s">
        <v>68</v>
      </c>
      <c r="E1502" s="17" t="s">
        <v>75</v>
      </c>
      <c r="F1502" s="17" t="s">
        <v>84</v>
      </c>
      <c r="G1502" s="11" t="s">
        <v>98</v>
      </c>
      <c r="H1502" s="11" t="s">
        <v>205</v>
      </c>
      <c r="I1502" s="17" t="s">
        <v>138</v>
      </c>
      <c r="J1502" s="17">
        <v>16.866351000000002</v>
      </c>
      <c r="K1502" s="17">
        <v>-96.383413000000004</v>
      </c>
      <c r="L1502" s="17" t="str">
        <f>HYPERLINK("https://maps.google.com/?q=16.866351,-96.383413", "🔗 Ver Mapa")</f>
        <v>🔗 Ver Mapa</v>
      </c>
    </row>
    <row r="1503" spans="1:12" ht="29" x14ac:dyDescent="0.35">
      <c r="A1503" s="5" t="s">
        <v>569</v>
      </c>
      <c r="B1503" s="5" t="s">
        <v>570</v>
      </c>
      <c r="C1503" s="5" t="s">
        <v>1206</v>
      </c>
      <c r="D1503" s="8" t="s">
        <v>68</v>
      </c>
      <c r="E1503" s="16" t="s">
        <v>75</v>
      </c>
      <c r="F1503" s="16" t="s">
        <v>86</v>
      </c>
      <c r="G1503" s="8" t="s">
        <v>103</v>
      </c>
      <c r="H1503" s="8" t="s">
        <v>125</v>
      </c>
      <c r="I1503" s="16" t="s">
        <v>138</v>
      </c>
      <c r="J1503" s="16">
        <v>17.068297099999999</v>
      </c>
      <c r="K1503" s="16">
        <v>-96.724020499999995</v>
      </c>
      <c r="L1503" s="16" t="str">
        <f>HYPERLINK("https://maps.google.com/?q=17.0682971,-96.7240205", "🔗 Ver Mapa")</f>
        <v>🔗 Ver Mapa</v>
      </c>
    </row>
    <row r="1504" spans="1:12" ht="58" x14ac:dyDescent="0.35">
      <c r="A1504" s="6" t="s">
        <v>569</v>
      </c>
      <c r="B1504" s="6" t="s">
        <v>570</v>
      </c>
      <c r="C1504" s="6" t="s">
        <v>1207</v>
      </c>
      <c r="D1504" s="11" t="s">
        <v>68</v>
      </c>
      <c r="E1504" s="17" t="s">
        <v>75</v>
      </c>
      <c r="F1504" s="17" t="s">
        <v>86</v>
      </c>
      <c r="G1504" s="11" t="s">
        <v>103</v>
      </c>
      <c r="H1504" s="11" t="s">
        <v>125</v>
      </c>
      <c r="I1504" s="17" t="s">
        <v>138</v>
      </c>
      <c r="J1504" s="17">
        <v>17.051853000000001</v>
      </c>
      <c r="K1504" s="17">
        <v>-96.731651999999997</v>
      </c>
      <c r="L1504" s="17" t="str">
        <f>HYPERLINK("https://maps.google.com/?q=17.051853,-96.731652", "🔗 Ver Mapa")</f>
        <v>🔗 Ver Mapa</v>
      </c>
    </row>
    <row r="1505" spans="1:12" ht="43.5" x14ac:dyDescent="0.35">
      <c r="A1505" s="5" t="s">
        <v>2</v>
      </c>
      <c r="B1505" s="5" t="s">
        <v>15</v>
      </c>
      <c r="C1505" s="5" t="s">
        <v>1208</v>
      </c>
      <c r="D1505" s="8" t="s">
        <v>62</v>
      </c>
      <c r="E1505" s="16" t="s">
        <v>75</v>
      </c>
      <c r="F1505" s="16" t="s">
        <v>86</v>
      </c>
      <c r="G1505" s="8" t="s">
        <v>1209</v>
      </c>
      <c r="H1505" s="8" t="s">
        <v>1210</v>
      </c>
      <c r="I1505" s="16" t="s">
        <v>138</v>
      </c>
      <c r="J1505" s="16">
        <v>16.992645480370001</v>
      </c>
      <c r="K1505" s="16">
        <v>-96.754520035712005</v>
      </c>
      <c r="L1505" s="16" t="str">
        <f>HYPERLINK("https://maps.google.com/?q=16.99264548037,-96.754520035712", "🔗 Ver Mapa")</f>
        <v>🔗 Ver Mapa</v>
      </c>
    </row>
    <row r="1506" spans="1:12" ht="43.5" x14ac:dyDescent="0.35">
      <c r="A1506" s="6" t="s">
        <v>2</v>
      </c>
      <c r="B1506" s="6" t="s">
        <v>15</v>
      </c>
      <c r="C1506" s="6" t="s">
        <v>1211</v>
      </c>
      <c r="D1506" s="11" t="s">
        <v>62</v>
      </c>
      <c r="E1506" s="17" t="s">
        <v>77</v>
      </c>
      <c r="F1506" s="17" t="s">
        <v>88</v>
      </c>
      <c r="G1506" s="11" t="s">
        <v>876</v>
      </c>
      <c r="H1506" s="11" t="s">
        <v>1212</v>
      </c>
      <c r="I1506" s="17" t="s">
        <v>138</v>
      </c>
      <c r="J1506" s="17">
        <v>16.359864999999999</v>
      </c>
      <c r="K1506" s="17">
        <v>-94.188156000000006</v>
      </c>
      <c r="L1506" s="17" t="str">
        <f>HYPERLINK("https://maps.google.com/?q=16.359865,-94.188156", "🔗 Ver Mapa")</f>
        <v>🔗 Ver Mapa</v>
      </c>
    </row>
    <row r="1507" spans="1:12" ht="29" x14ac:dyDescent="0.35">
      <c r="A1507" s="5" t="s">
        <v>1185</v>
      </c>
      <c r="B1507" s="5" t="s">
        <v>1186</v>
      </c>
      <c r="C1507" s="5" t="s">
        <v>1213</v>
      </c>
      <c r="D1507" s="8" t="s">
        <v>65</v>
      </c>
      <c r="E1507" s="16" t="s">
        <v>75</v>
      </c>
      <c r="F1507" s="16" t="s">
        <v>1214</v>
      </c>
      <c r="G1507" s="8" t="s">
        <v>1215</v>
      </c>
      <c r="H1507" s="8" t="s">
        <v>1216</v>
      </c>
      <c r="I1507" s="16" t="s">
        <v>138</v>
      </c>
      <c r="J1507" s="16">
        <v>16.959259282249</v>
      </c>
      <c r="K1507" s="16">
        <v>-96.707456235210998</v>
      </c>
      <c r="L1507" s="16" t="str">
        <f>HYPERLINK("https://maps.google.com/?q=16.959259282249,-96.707456235211", "🔗 Ver Mapa")</f>
        <v>🔗 Ver Mapa</v>
      </c>
    </row>
    <row r="1508" spans="1:12" ht="29" x14ac:dyDescent="0.35">
      <c r="A1508" s="6" t="s">
        <v>1185</v>
      </c>
      <c r="B1508" s="6" t="s">
        <v>1186</v>
      </c>
      <c r="C1508" s="6" t="s">
        <v>1213</v>
      </c>
      <c r="D1508" s="11" t="s">
        <v>65</v>
      </c>
      <c r="E1508" s="17" t="s">
        <v>75</v>
      </c>
      <c r="F1508" s="17" t="s">
        <v>1214</v>
      </c>
      <c r="G1508" s="11" t="s">
        <v>1215</v>
      </c>
      <c r="H1508" s="11" t="s">
        <v>1216</v>
      </c>
      <c r="I1508" s="17" t="s">
        <v>138</v>
      </c>
      <c r="J1508" s="17">
        <v>17.051649999999999</v>
      </c>
      <c r="K1508" s="17">
        <v>-96.732590000000002</v>
      </c>
      <c r="L1508" s="17" t="str">
        <f>HYPERLINK("https://maps.google.com/?q=17.05165,-96.73259", "🔗 Ver Mapa")</f>
        <v>🔗 Ver Mapa</v>
      </c>
    </row>
    <row r="1509" spans="1:12" ht="29" x14ac:dyDescent="0.35">
      <c r="A1509" s="5" t="s">
        <v>1185</v>
      </c>
      <c r="B1509" s="5" t="s">
        <v>1186</v>
      </c>
      <c r="C1509" s="5" t="s">
        <v>1213</v>
      </c>
      <c r="D1509" s="8" t="s">
        <v>65</v>
      </c>
      <c r="E1509" s="16" t="s">
        <v>75</v>
      </c>
      <c r="F1509" s="16" t="s">
        <v>1214</v>
      </c>
      <c r="G1509" s="8" t="s">
        <v>1215</v>
      </c>
      <c r="H1509" s="8" t="s">
        <v>1216</v>
      </c>
      <c r="I1509" s="16" t="s">
        <v>138</v>
      </c>
      <c r="J1509" s="16">
        <v>17.05841510063</v>
      </c>
      <c r="K1509" s="16">
        <v>-96.726037449795001</v>
      </c>
      <c r="L1509" s="16" t="str">
        <f>HYPERLINK("https://maps.google.com/?q=17.05841510063,-96.726037449795", "🔗 Ver Mapa")</f>
        <v>🔗 Ver Mapa</v>
      </c>
    </row>
    <row r="1510" spans="1:12" ht="29" x14ac:dyDescent="0.35">
      <c r="A1510" s="6" t="s">
        <v>1185</v>
      </c>
      <c r="B1510" s="6" t="s">
        <v>1186</v>
      </c>
      <c r="C1510" s="6" t="s">
        <v>1213</v>
      </c>
      <c r="D1510" s="11" t="s">
        <v>65</v>
      </c>
      <c r="E1510" s="17" t="s">
        <v>75</v>
      </c>
      <c r="F1510" s="17" t="s">
        <v>1214</v>
      </c>
      <c r="G1510" s="11" t="s">
        <v>1215</v>
      </c>
      <c r="H1510" s="11" t="s">
        <v>1216</v>
      </c>
      <c r="I1510" s="17" t="s">
        <v>138</v>
      </c>
      <c r="J1510" s="17">
        <v>17.060526100000001</v>
      </c>
      <c r="K1510" s="17">
        <v>-96.725292100000004</v>
      </c>
      <c r="L1510" s="17" t="str">
        <f>HYPERLINK("https://maps.google.com/?q=17.0605261,-96.7252921", "🔗 Ver Mapa")</f>
        <v>🔗 Ver Mapa</v>
      </c>
    </row>
    <row r="1511" spans="1:12" ht="29" x14ac:dyDescent="0.35">
      <c r="A1511" s="5" t="s">
        <v>1185</v>
      </c>
      <c r="B1511" s="5" t="s">
        <v>1186</v>
      </c>
      <c r="C1511" s="5" t="s">
        <v>1213</v>
      </c>
      <c r="D1511" s="8" t="s">
        <v>65</v>
      </c>
      <c r="E1511" s="16" t="s">
        <v>75</v>
      </c>
      <c r="F1511" s="16" t="s">
        <v>1214</v>
      </c>
      <c r="G1511" s="8" t="s">
        <v>1215</v>
      </c>
      <c r="H1511" s="8" t="s">
        <v>1216</v>
      </c>
      <c r="I1511" s="16" t="s">
        <v>138</v>
      </c>
      <c r="J1511" s="16">
        <v>17.061598661192001</v>
      </c>
      <c r="K1511" s="16">
        <v>-96.723442640434001</v>
      </c>
      <c r="L1511" s="16" t="str">
        <f>HYPERLINK("https://maps.google.com/?q=17.061598661192,-96.723442640434", "🔗 Ver Mapa")</f>
        <v>🔗 Ver Mapa</v>
      </c>
    </row>
    <row r="1512" spans="1:12" ht="29" x14ac:dyDescent="0.35">
      <c r="A1512" s="6" t="s">
        <v>1185</v>
      </c>
      <c r="B1512" s="6" t="s">
        <v>1186</v>
      </c>
      <c r="C1512" s="6" t="s">
        <v>1213</v>
      </c>
      <c r="D1512" s="11" t="s">
        <v>65</v>
      </c>
      <c r="E1512" s="17" t="s">
        <v>75</v>
      </c>
      <c r="F1512" s="17" t="s">
        <v>1214</v>
      </c>
      <c r="G1512" s="11" t="s">
        <v>1215</v>
      </c>
      <c r="H1512" s="11" t="s">
        <v>1216</v>
      </c>
      <c r="I1512" s="17" t="s">
        <v>138</v>
      </c>
      <c r="J1512" s="17">
        <v>17.062257096949001</v>
      </c>
      <c r="K1512" s="17">
        <v>-96.725669748659996</v>
      </c>
      <c r="L1512" s="17" t="str">
        <f>HYPERLINK("https://maps.google.com/?q=17.062257096949,-96.72566974866", "🔗 Ver Mapa")</f>
        <v>🔗 Ver Mapa</v>
      </c>
    </row>
    <row r="1513" spans="1:12" ht="29" x14ac:dyDescent="0.35">
      <c r="A1513" s="5" t="s">
        <v>1185</v>
      </c>
      <c r="B1513" s="5" t="s">
        <v>1186</v>
      </c>
      <c r="C1513" s="5" t="s">
        <v>1213</v>
      </c>
      <c r="D1513" s="8" t="s">
        <v>65</v>
      </c>
      <c r="E1513" s="16" t="s">
        <v>75</v>
      </c>
      <c r="F1513" s="16" t="s">
        <v>1214</v>
      </c>
      <c r="G1513" s="8" t="s">
        <v>1215</v>
      </c>
      <c r="H1513" s="8" t="s">
        <v>1216</v>
      </c>
      <c r="I1513" s="16" t="s">
        <v>138</v>
      </c>
      <c r="J1513" s="16">
        <v>17.06372</v>
      </c>
      <c r="K1513" s="16">
        <v>-96.729609999999994</v>
      </c>
      <c r="L1513" s="16" t="str">
        <f>HYPERLINK("https://maps.google.com/?q=17.06372,-96.72961", "🔗 Ver Mapa")</f>
        <v>🔗 Ver Mapa</v>
      </c>
    </row>
    <row r="1514" spans="1:12" ht="29" x14ac:dyDescent="0.35">
      <c r="A1514" s="6" t="s">
        <v>1185</v>
      </c>
      <c r="B1514" s="6" t="s">
        <v>1186</v>
      </c>
      <c r="C1514" s="6" t="s">
        <v>1213</v>
      </c>
      <c r="D1514" s="11" t="s">
        <v>65</v>
      </c>
      <c r="E1514" s="17" t="s">
        <v>75</v>
      </c>
      <c r="F1514" s="17" t="s">
        <v>1214</v>
      </c>
      <c r="G1514" s="11" t="s">
        <v>1215</v>
      </c>
      <c r="H1514" s="11" t="s">
        <v>1216</v>
      </c>
      <c r="I1514" s="17" t="s">
        <v>138</v>
      </c>
      <c r="J1514" s="17">
        <v>17.065586400000001</v>
      </c>
      <c r="K1514" s="17">
        <v>-96.721928599999998</v>
      </c>
      <c r="L1514" s="17" t="str">
        <f>HYPERLINK("https://maps.google.com/?q=17.0655864,-96.7219286", "🔗 Ver Mapa")</f>
        <v>🔗 Ver Mapa</v>
      </c>
    </row>
    <row r="1515" spans="1:12" ht="29" x14ac:dyDescent="0.35">
      <c r="A1515" s="5" t="s">
        <v>1185</v>
      </c>
      <c r="B1515" s="5" t="s">
        <v>1186</v>
      </c>
      <c r="C1515" s="5" t="s">
        <v>1213</v>
      </c>
      <c r="D1515" s="8" t="s">
        <v>65</v>
      </c>
      <c r="E1515" s="16" t="s">
        <v>75</v>
      </c>
      <c r="F1515" s="16" t="s">
        <v>1214</v>
      </c>
      <c r="G1515" s="8" t="s">
        <v>1215</v>
      </c>
      <c r="H1515" s="8" t="s">
        <v>1216</v>
      </c>
      <c r="I1515" s="16" t="s">
        <v>138</v>
      </c>
      <c r="J1515" s="16">
        <v>17.068371399274</v>
      </c>
      <c r="K1515" s="16">
        <v>-96.720254867421005</v>
      </c>
      <c r="L1515" s="16" t="str">
        <f>HYPERLINK("https://maps.google.com/?q=17.068371399274,-96.720254867421", "🔗 Ver Mapa")</f>
        <v>🔗 Ver Mapa</v>
      </c>
    </row>
    <row r="1516" spans="1:12" ht="29" x14ac:dyDescent="0.35">
      <c r="A1516" s="6" t="s">
        <v>1185</v>
      </c>
      <c r="B1516" s="6" t="s">
        <v>1186</v>
      </c>
      <c r="C1516" s="6" t="s">
        <v>1213</v>
      </c>
      <c r="D1516" s="11" t="s">
        <v>65</v>
      </c>
      <c r="E1516" s="17" t="s">
        <v>75</v>
      </c>
      <c r="F1516" s="17" t="s">
        <v>1214</v>
      </c>
      <c r="G1516" s="11" t="s">
        <v>1215</v>
      </c>
      <c r="H1516" s="11" t="s">
        <v>1216</v>
      </c>
      <c r="I1516" s="17" t="s">
        <v>138</v>
      </c>
      <c r="J1516" s="17">
        <v>17.242113018914001</v>
      </c>
      <c r="K1516" s="17">
        <v>-96.821013905621996</v>
      </c>
      <c r="L1516" s="17" t="str">
        <f>HYPERLINK("https://maps.google.com/?q=17.242113018914,-96.821013905622", "🔗 Ver Mapa")</f>
        <v>🔗 Ver Mapa</v>
      </c>
    </row>
    <row r="1517" spans="1:12" ht="43.5" x14ac:dyDescent="0.35">
      <c r="A1517" s="5" t="s">
        <v>1217</v>
      </c>
      <c r="B1517" s="5" t="s">
        <v>1218</v>
      </c>
      <c r="C1517" s="5" t="s">
        <v>1219</v>
      </c>
      <c r="D1517" s="8" t="s">
        <v>417</v>
      </c>
      <c r="E1517" s="16" t="s">
        <v>75</v>
      </c>
      <c r="F1517" s="16" t="s">
        <v>86</v>
      </c>
      <c r="G1517" s="8" t="s">
        <v>104</v>
      </c>
      <c r="H1517" s="8" t="s">
        <v>126</v>
      </c>
      <c r="I1517" s="16" t="s">
        <v>138</v>
      </c>
      <c r="J1517" s="16">
        <v>16.909824549155001</v>
      </c>
      <c r="K1517" s="16">
        <v>-96.722174193916999</v>
      </c>
      <c r="L1517" s="16" t="str">
        <f>HYPERLINK("https://maps.google.com/?q=16.909824549155,-96.722174193917", "🔗 Ver Mapa")</f>
        <v>🔗 Ver Mapa</v>
      </c>
    </row>
    <row r="1518" spans="1:12" ht="43.5" x14ac:dyDescent="0.35">
      <c r="A1518" s="6" t="s">
        <v>414</v>
      </c>
      <c r="B1518" s="6" t="s">
        <v>415</v>
      </c>
      <c r="C1518" s="6" t="s">
        <v>1220</v>
      </c>
      <c r="D1518" s="11" t="s">
        <v>417</v>
      </c>
      <c r="E1518" s="17" t="s">
        <v>75</v>
      </c>
      <c r="F1518" s="17" t="s">
        <v>86</v>
      </c>
      <c r="G1518" s="11" t="s">
        <v>103</v>
      </c>
      <c r="H1518" s="11" t="s">
        <v>125</v>
      </c>
      <c r="I1518" s="17" t="s">
        <v>138</v>
      </c>
      <c r="J1518" s="17">
        <v>17.052046230645001</v>
      </c>
      <c r="K1518" s="17">
        <v>-96.732215822577004</v>
      </c>
      <c r="L1518" s="17" t="str">
        <f>HYPERLINK("https://maps.google.com/?q=17.052046230645,-96.732215822577", "🔗 Ver Mapa")</f>
        <v>🔗 Ver Mapa</v>
      </c>
    </row>
    <row r="1519" spans="1:12" ht="43.5" x14ac:dyDescent="0.35">
      <c r="A1519" s="5" t="s">
        <v>1221</v>
      </c>
      <c r="B1519" s="5" t="s">
        <v>1222</v>
      </c>
      <c r="C1519" s="5" t="s">
        <v>1223</v>
      </c>
      <c r="D1519" s="8" t="s">
        <v>70</v>
      </c>
      <c r="E1519" s="16" t="s">
        <v>75</v>
      </c>
      <c r="F1519" s="16" t="s">
        <v>86</v>
      </c>
      <c r="G1519" s="8" t="s">
        <v>807</v>
      </c>
      <c r="H1519" s="8" t="s">
        <v>808</v>
      </c>
      <c r="I1519" s="16" t="s">
        <v>138</v>
      </c>
      <c r="J1519" s="16">
        <v>17.033369468480998</v>
      </c>
      <c r="K1519" s="16">
        <v>-96.712995041363996</v>
      </c>
      <c r="L1519" s="16" t="str">
        <f>HYPERLINK("https://maps.google.com/?q=17.033369468481,-96.712995041364", "🔗 Ver Mapa")</f>
        <v>🔗 Ver Mapa</v>
      </c>
    </row>
    <row r="1520" spans="1:12" ht="43.5" x14ac:dyDescent="0.35">
      <c r="A1520" s="6" t="s">
        <v>2</v>
      </c>
      <c r="B1520" s="6" t="s">
        <v>15</v>
      </c>
      <c r="C1520" s="6" t="s">
        <v>1224</v>
      </c>
      <c r="D1520" s="11" t="s">
        <v>62</v>
      </c>
      <c r="E1520" s="17" t="s">
        <v>77</v>
      </c>
      <c r="F1520" s="17" t="s">
        <v>88</v>
      </c>
      <c r="G1520" s="11" t="s">
        <v>876</v>
      </c>
      <c r="H1520" s="11" t="s">
        <v>1212</v>
      </c>
      <c r="I1520" s="17" t="s">
        <v>138</v>
      </c>
      <c r="J1520" s="17">
        <v>16.359864999999999</v>
      </c>
      <c r="K1520" s="17">
        <v>-94.188156000000006</v>
      </c>
      <c r="L1520" s="17" t="str">
        <f>HYPERLINK("https://maps.google.com/?q=16.359865,-94.188156", "🔗 Ver Mapa")</f>
        <v>🔗 Ver Mapa</v>
      </c>
    </row>
    <row r="1521" spans="1:12" ht="43.5" x14ac:dyDescent="0.35">
      <c r="A1521" s="5" t="s">
        <v>2</v>
      </c>
      <c r="B1521" s="5" t="s">
        <v>15</v>
      </c>
      <c r="C1521" s="5" t="s">
        <v>1225</v>
      </c>
      <c r="D1521" s="8" t="s">
        <v>62</v>
      </c>
      <c r="E1521" s="16" t="s">
        <v>76</v>
      </c>
      <c r="F1521" s="16" t="s">
        <v>85</v>
      </c>
      <c r="G1521" s="8" t="s">
        <v>102</v>
      </c>
      <c r="H1521" s="8" t="s">
        <v>124</v>
      </c>
      <c r="I1521" s="16" t="s">
        <v>138</v>
      </c>
      <c r="J1521" s="16">
        <v>15.746143999999999</v>
      </c>
      <c r="K1521" s="16">
        <v>-96.465182999999996</v>
      </c>
      <c r="L1521" s="16" t="str">
        <f>HYPERLINK("https://maps.google.com/?q=15.746144,-96.465183", "🔗 Ver Mapa")</f>
        <v>🔗 Ver Mapa</v>
      </c>
    </row>
    <row r="1522" spans="1:12" ht="43.5" x14ac:dyDescent="0.35">
      <c r="A1522" s="6" t="s">
        <v>2</v>
      </c>
      <c r="B1522" s="6" t="s">
        <v>15</v>
      </c>
      <c r="C1522" s="6" t="s">
        <v>1225</v>
      </c>
      <c r="D1522" s="11" t="s">
        <v>62</v>
      </c>
      <c r="E1522" s="17" t="s">
        <v>76</v>
      </c>
      <c r="F1522" s="17" t="s">
        <v>85</v>
      </c>
      <c r="G1522" s="11" t="s">
        <v>102</v>
      </c>
      <c r="H1522" s="11" t="s">
        <v>124</v>
      </c>
      <c r="I1522" s="17" t="s">
        <v>138</v>
      </c>
      <c r="J1522" s="17">
        <v>16.237075999999998</v>
      </c>
      <c r="K1522" s="17">
        <v>-97.292351999999994</v>
      </c>
      <c r="L1522" s="17" t="str">
        <f>HYPERLINK("https://maps.google.com/?q=16.237076,-97.292352", "🔗 Ver Mapa")</f>
        <v>🔗 Ver Mapa</v>
      </c>
    </row>
    <row r="1523" spans="1:12" ht="43.5" x14ac:dyDescent="0.35">
      <c r="A1523" s="5" t="s">
        <v>2</v>
      </c>
      <c r="B1523" s="5" t="s">
        <v>15</v>
      </c>
      <c r="C1523" s="5" t="s">
        <v>1225</v>
      </c>
      <c r="D1523" s="8" t="s">
        <v>62</v>
      </c>
      <c r="E1523" s="16" t="s">
        <v>76</v>
      </c>
      <c r="F1523" s="16" t="s">
        <v>85</v>
      </c>
      <c r="G1523" s="8" t="s">
        <v>102</v>
      </c>
      <c r="H1523" s="8" t="s">
        <v>124</v>
      </c>
      <c r="I1523" s="16" t="s">
        <v>138</v>
      </c>
      <c r="J1523" s="16">
        <v>16.279057999999999</v>
      </c>
      <c r="K1523" s="16">
        <v>-97.820240999999996</v>
      </c>
      <c r="L1523" s="16" t="str">
        <f>HYPERLINK("https://maps.google.com/?q=16.279058,-97.820241", "🔗 Ver Mapa")</f>
        <v>🔗 Ver Mapa</v>
      </c>
    </row>
    <row r="1524" spans="1:12" ht="43.5" x14ac:dyDescent="0.35">
      <c r="A1524" s="6" t="s">
        <v>2</v>
      </c>
      <c r="B1524" s="6" t="s">
        <v>15</v>
      </c>
      <c r="C1524" s="6" t="s">
        <v>1225</v>
      </c>
      <c r="D1524" s="11" t="s">
        <v>62</v>
      </c>
      <c r="E1524" s="17" t="s">
        <v>76</v>
      </c>
      <c r="F1524" s="17" t="s">
        <v>85</v>
      </c>
      <c r="G1524" s="11" t="s">
        <v>102</v>
      </c>
      <c r="H1524" s="11" t="s">
        <v>124</v>
      </c>
      <c r="I1524" s="17" t="s">
        <v>138</v>
      </c>
      <c r="J1524" s="17">
        <v>16.328751</v>
      </c>
      <c r="K1524" s="17">
        <v>-96.596529000000004</v>
      </c>
      <c r="L1524" s="17" t="str">
        <f>HYPERLINK("https://maps.google.com/?q=16.328751,-96.596529", "🔗 Ver Mapa")</f>
        <v>🔗 Ver Mapa</v>
      </c>
    </row>
    <row r="1525" spans="1:12" ht="43.5" x14ac:dyDescent="0.35">
      <c r="A1525" s="5" t="s">
        <v>2</v>
      </c>
      <c r="B1525" s="5" t="s">
        <v>15</v>
      </c>
      <c r="C1525" s="5" t="s">
        <v>1225</v>
      </c>
      <c r="D1525" s="8" t="s">
        <v>62</v>
      </c>
      <c r="E1525" s="16" t="s">
        <v>76</v>
      </c>
      <c r="F1525" s="16" t="s">
        <v>85</v>
      </c>
      <c r="G1525" s="8" t="s">
        <v>102</v>
      </c>
      <c r="H1525" s="8" t="s">
        <v>124</v>
      </c>
      <c r="I1525" s="16" t="s">
        <v>138</v>
      </c>
      <c r="J1525" s="16">
        <v>16.332014000000001</v>
      </c>
      <c r="K1525" s="16">
        <v>-95.231966</v>
      </c>
      <c r="L1525" s="16" t="str">
        <f>HYPERLINK("https://maps.google.com/?q=16.332014,-95.231966", "🔗 Ver Mapa")</f>
        <v>🔗 Ver Mapa</v>
      </c>
    </row>
    <row r="1526" spans="1:12" ht="43.5" x14ac:dyDescent="0.35">
      <c r="A1526" s="6" t="s">
        <v>2</v>
      </c>
      <c r="B1526" s="6" t="s">
        <v>15</v>
      </c>
      <c r="C1526" s="6" t="s">
        <v>1225</v>
      </c>
      <c r="D1526" s="11" t="s">
        <v>62</v>
      </c>
      <c r="E1526" s="17" t="s">
        <v>76</v>
      </c>
      <c r="F1526" s="17" t="s">
        <v>85</v>
      </c>
      <c r="G1526" s="11" t="s">
        <v>102</v>
      </c>
      <c r="H1526" s="11" t="s">
        <v>124</v>
      </c>
      <c r="I1526" s="17" t="s">
        <v>138</v>
      </c>
      <c r="J1526" s="17">
        <v>16.433347000000001</v>
      </c>
      <c r="K1526" s="17">
        <v>-95.021687</v>
      </c>
      <c r="L1526" s="17" t="str">
        <f>HYPERLINK("https://maps.google.com/?q=16.433347,-95.021687", "🔗 Ver Mapa")</f>
        <v>🔗 Ver Mapa</v>
      </c>
    </row>
    <row r="1527" spans="1:12" ht="43.5" x14ac:dyDescent="0.35">
      <c r="A1527" s="5" t="s">
        <v>2</v>
      </c>
      <c r="B1527" s="5" t="s">
        <v>15</v>
      </c>
      <c r="C1527" s="5" t="s">
        <v>1225</v>
      </c>
      <c r="D1527" s="8" t="s">
        <v>62</v>
      </c>
      <c r="E1527" s="16" t="s">
        <v>76</v>
      </c>
      <c r="F1527" s="16" t="s">
        <v>85</v>
      </c>
      <c r="G1527" s="8" t="s">
        <v>102</v>
      </c>
      <c r="H1527" s="8" t="s">
        <v>124</v>
      </c>
      <c r="I1527" s="16" t="s">
        <v>138</v>
      </c>
      <c r="J1527" s="16">
        <v>16.500512000000001</v>
      </c>
      <c r="K1527" s="16">
        <v>-96.106790000000004</v>
      </c>
      <c r="L1527" s="16" t="str">
        <f>HYPERLINK("https://maps.google.com/?q=16.500512,-96.10679", "🔗 Ver Mapa")</f>
        <v>🔗 Ver Mapa</v>
      </c>
    </row>
    <row r="1528" spans="1:12" ht="43.5" x14ac:dyDescent="0.35">
      <c r="A1528" s="6" t="s">
        <v>2</v>
      </c>
      <c r="B1528" s="6" t="s">
        <v>15</v>
      </c>
      <c r="C1528" s="6" t="s">
        <v>1225</v>
      </c>
      <c r="D1528" s="11" t="s">
        <v>62</v>
      </c>
      <c r="E1528" s="17" t="s">
        <v>76</v>
      </c>
      <c r="F1528" s="17" t="s">
        <v>85</v>
      </c>
      <c r="G1528" s="11" t="s">
        <v>102</v>
      </c>
      <c r="H1528" s="11" t="s">
        <v>124</v>
      </c>
      <c r="I1528" s="17" t="s">
        <v>138</v>
      </c>
      <c r="J1528" s="17">
        <v>16.519807</v>
      </c>
      <c r="K1528" s="17">
        <v>-96.983885000000001</v>
      </c>
      <c r="L1528" s="17" t="str">
        <f>HYPERLINK("https://maps.google.com/?q=16.519807,-96.983885", "🔗 Ver Mapa")</f>
        <v>🔗 Ver Mapa</v>
      </c>
    </row>
    <row r="1529" spans="1:12" ht="43.5" x14ac:dyDescent="0.35">
      <c r="A1529" s="5" t="s">
        <v>2</v>
      </c>
      <c r="B1529" s="5" t="s">
        <v>15</v>
      </c>
      <c r="C1529" s="5" t="s">
        <v>1225</v>
      </c>
      <c r="D1529" s="8" t="s">
        <v>62</v>
      </c>
      <c r="E1529" s="16" t="s">
        <v>76</v>
      </c>
      <c r="F1529" s="16" t="s">
        <v>85</v>
      </c>
      <c r="G1529" s="8" t="s">
        <v>102</v>
      </c>
      <c r="H1529" s="8" t="s">
        <v>124</v>
      </c>
      <c r="I1529" s="16" t="s">
        <v>138</v>
      </c>
      <c r="J1529" s="16">
        <v>16.564243999999999</v>
      </c>
      <c r="K1529" s="16">
        <v>-96.731829000000005</v>
      </c>
      <c r="L1529" s="16" t="str">
        <f>HYPERLINK("https://maps.google.com/?q=16.564244,-96.731829", "🔗 Ver Mapa")</f>
        <v>🔗 Ver Mapa</v>
      </c>
    </row>
    <row r="1530" spans="1:12" ht="43.5" x14ac:dyDescent="0.35">
      <c r="A1530" s="6" t="s">
        <v>2</v>
      </c>
      <c r="B1530" s="6" t="s">
        <v>15</v>
      </c>
      <c r="C1530" s="6" t="s">
        <v>1225</v>
      </c>
      <c r="D1530" s="11" t="s">
        <v>62</v>
      </c>
      <c r="E1530" s="17" t="s">
        <v>76</v>
      </c>
      <c r="F1530" s="17" t="s">
        <v>85</v>
      </c>
      <c r="G1530" s="11" t="s">
        <v>102</v>
      </c>
      <c r="H1530" s="11" t="s">
        <v>124</v>
      </c>
      <c r="I1530" s="17" t="s">
        <v>138</v>
      </c>
      <c r="J1530" s="17">
        <v>16.791625</v>
      </c>
      <c r="K1530" s="17">
        <v>-96.674999</v>
      </c>
      <c r="L1530" s="17" t="str">
        <f>HYPERLINK("https://maps.google.com/?q=16.791625,-96.674999", "🔗 Ver Mapa")</f>
        <v>🔗 Ver Mapa</v>
      </c>
    </row>
    <row r="1531" spans="1:12" ht="43.5" x14ac:dyDescent="0.35">
      <c r="A1531" s="5" t="s">
        <v>2</v>
      </c>
      <c r="B1531" s="5" t="s">
        <v>15</v>
      </c>
      <c r="C1531" s="5" t="s">
        <v>1225</v>
      </c>
      <c r="D1531" s="8" t="s">
        <v>62</v>
      </c>
      <c r="E1531" s="16" t="s">
        <v>76</v>
      </c>
      <c r="F1531" s="16" t="s">
        <v>85</v>
      </c>
      <c r="G1531" s="8" t="s">
        <v>102</v>
      </c>
      <c r="H1531" s="8" t="s">
        <v>124</v>
      </c>
      <c r="I1531" s="16" t="s">
        <v>138</v>
      </c>
      <c r="J1531" s="16">
        <v>16.866371000000001</v>
      </c>
      <c r="K1531" s="16">
        <v>-96.785623000000001</v>
      </c>
      <c r="L1531" s="16" t="str">
        <f>HYPERLINK("https://maps.google.com/?q=16.866371,-96.785623", "🔗 Ver Mapa")</f>
        <v>🔗 Ver Mapa</v>
      </c>
    </row>
    <row r="1532" spans="1:12" ht="43.5" x14ac:dyDescent="0.35">
      <c r="A1532" s="6" t="s">
        <v>2</v>
      </c>
      <c r="B1532" s="6" t="s">
        <v>15</v>
      </c>
      <c r="C1532" s="6" t="s">
        <v>1225</v>
      </c>
      <c r="D1532" s="11" t="s">
        <v>62</v>
      </c>
      <c r="E1532" s="17" t="s">
        <v>76</v>
      </c>
      <c r="F1532" s="17" t="s">
        <v>85</v>
      </c>
      <c r="G1532" s="11" t="s">
        <v>102</v>
      </c>
      <c r="H1532" s="11" t="s">
        <v>124</v>
      </c>
      <c r="I1532" s="17" t="s">
        <v>138</v>
      </c>
      <c r="J1532" s="17">
        <v>16.950706</v>
      </c>
      <c r="K1532" s="17">
        <v>-96.750504000000006</v>
      </c>
      <c r="L1532" s="17" t="str">
        <f>HYPERLINK("https://maps.google.com/?q=16.950706,-96.750504", "🔗 Ver Mapa")</f>
        <v>🔗 Ver Mapa</v>
      </c>
    </row>
    <row r="1533" spans="1:12" ht="43.5" x14ac:dyDescent="0.35">
      <c r="A1533" s="5" t="s">
        <v>2</v>
      </c>
      <c r="B1533" s="5" t="s">
        <v>15</v>
      </c>
      <c r="C1533" s="5" t="s">
        <v>1225</v>
      </c>
      <c r="D1533" s="8" t="s">
        <v>62</v>
      </c>
      <c r="E1533" s="16" t="s">
        <v>76</v>
      </c>
      <c r="F1533" s="16" t="s">
        <v>85</v>
      </c>
      <c r="G1533" s="8" t="s">
        <v>102</v>
      </c>
      <c r="H1533" s="8" t="s">
        <v>124</v>
      </c>
      <c r="I1533" s="16" t="s">
        <v>138</v>
      </c>
      <c r="J1533" s="16">
        <v>16.955580000000001</v>
      </c>
      <c r="K1533" s="16">
        <v>-96.479206000000005</v>
      </c>
      <c r="L1533" s="16" t="str">
        <f>HYPERLINK("https://maps.google.com/?q=16.95558,-96.479206", "🔗 Ver Mapa")</f>
        <v>🔗 Ver Mapa</v>
      </c>
    </row>
    <row r="1534" spans="1:12" ht="43.5" x14ac:dyDescent="0.35">
      <c r="A1534" s="6" t="s">
        <v>2</v>
      </c>
      <c r="B1534" s="6" t="s">
        <v>15</v>
      </c>
      <c r="C1534" s="6" t="s">
        <v>1225</v>
      </c>
      <c r="D1534" s="11" t="s">
        <v>62</v>
      </c>
      <c r="E1534" s="17" t="s">
        <v>76</v>
      </c>
      <c r="F1534" s="17" t="s">
        <v>85</v>
      </c>
      <c r="G1534" s="11" t="s">
        <v>102</v>
      </c>
      <c r="H1534" s="11" t="s">
        <v>124</v>
      </c>
      <c r="I1534" s="17" t="s">
        <v>138</v>
      </c>
      <c r="J1534" s="17">
        <v>17.026216000000002</v>
      </c>
      <c r="K1534" s="17">
        <v>-97.928115000000005</v>
      </c>
      <c r="L1534" s="17" t="str">
        <f>HYPERLINK("https://maps.google.com/?q=17.026216,-97.928115", "🔗 Ver Mapa")</f>
        <v>🔗 Ver Mapa</v>
      </c>
    </row>
    <row r="1535" spans="1:12" ht="43.5" x14ac:dyDescent="0.35">
      <c r="A1535" s="5" t="s">
        <v>2</v>
      </c>
      <c r="B1535" s="5" t="s">
        <v>15</v>
      </c>
      <c r="C1535" s="5" t="s">
        <v>1225</v>
      </c>
      <c r="D1535" s="8" t="s">
        <v>62</v>
      </c>
      <c r="E1535" s="16" t="s">
        <v>76</v>
      </c>
      <c r="F1535" s="16" t="s">
        <v>85</v>
      </c>
      <c r="G1535" s="8" t="s">
        <v>102</v>
      </c>
      <c r="H1535" s="8" t="s">
        <v>124</v>
      </c>
      <c r="I1535" s="16" t="s">
        <v>138</v>
      </c>
      <c r="J1535" s="16">
        <v>17.027131000000001</v>
      </c>
      <c r="K1535" s="16">
        <v>-96.077044000000001</v>
      </c>
      <c r="L1535" s="16" t="str">
        <f>HYPERLINK("https://maps.google.com/?q=17.027131,-96.077044", "🔗 Ver Mapa")</f>
        <v>🔗 Ver Mapa</v>
      </c>
    </row>
    <row r="1536" spans="1:12" ht="43.5" x14ac:dyDescent="0.35">
      <c r="A1536" s="6" t="s">
        <v>2</v>
      </c>
      <c r="B1536" s="6" t="s">
        <v>15</v>
      </c>
      <c r="C1536" s="6" t="s">
        <v>1225</v>
      </c>
      <c r="D1536" s="11" t="s">
        <v>62</v>
      </c>
      <c r="E1536" s="17" t="s">
        <v>76</v>
      </c>
      <c r="F1536" s="17" t="s">
        <v>85</v>
      </c>
      <c r="G1536" s="11" t="s">
        <v>102</v>
      </c>
      <c r="H1536" s="11" t="s">
        <v>124</v>
      </c>
      <c r="I1536" s="17" t="s">
        <v>138</v>
      </c>
      <c r="J1536" s="17">
        <v>17.063777999999999</v>
      </c>
      <c r="K1536" s="17">
        <v>-96.729971000000006</v>
      </c>
      <c r="L1536" s="17" t="str">
        <f>HYPERLINK("https://maps.google.com/?q=17.063778,-96.729971", "🔗 Ver Mapa")</f>
        <v>🔗 Ver Mapa</v>
      </c>
    </row>
    <row r="1537" spans="1:12" ht="43.5" x14ac:dyDescent="0.35">
      <c r="A1537" s="5" t="s">
        <v>2</v>
      </c>
      <c r="B1537" s="5" t="s">
        <v>15</v>
      </c>
      <c r="C1537" s="5" t="s">
        <v>1225</v>
      </c>
      <c r="D1537" s="8" t="s">
        <v>62</v>
      </c>
      <c r="E1537" s="16" t="s">
        <v>76</v>
      </c>
      <c r="F1537" s="16" t="s">
        <v>85</v>
      </c>
      <c r="G1537" s="8" t="s">
        <v>102</v>
      </c>
      <c r="H1537" s="8" t="s">
        <v>124</v>
      </c>
      <c r="I1537" s="16" t="s">
        <v>138</v>
      </c>
      <c r="J1537" s="16">
        <v>17.207464000000002</v>
      </c>
      <c r="K1537" s="16">
        <v>-96.801094000000006</v>
      </c>
      <c r="L1537" s="16" t="str">
        <f>HYPERLINK("https://maps.google.com/?q=17.207464,-96.801094", "🔗 Ver Mapa")</f>
        <v>🔗 Ver Mapa</v>
      </c>
    </row>
    <row r="1538" spans="1:12" ht="43.5" x14ac:dyDescent="0.35">
      <c r="A1538" s="6" t="s">
        <v>2</v>
      </c>
      <c r="B1538" s="6" t="s">
        <v>15</v>
      </c>
      <c r="C1538" s="6" t="s">
        <v>1225</v>
      </c>
      <c r="D1538" s="11" t="s">
        <v>62</v>
      </c>
      <c r="E1538" s="17" t="s">
        <v>76</v>
      </c>
      <c r="F1538" s="17" t="s">
        <v>85</v>
      </c>
      <c r="G1538" s="11" t="s">
        <v>102</v>
      </c>
      <c r="H1538" s="11" t="s">
        <v>124</v>
      </c>
      <c r="I1538" s="17" t="s">
        <v>138</v>
      </c>
      <c r="J1538" s="17">
        <v>17.267448999999999</v>
      </c>
      <c r="K1538" s="17">
        <v>-97.680485000000004</v>
      </c>
      <c r="L1538" s="17" t="str">
        <f>HYPERLINK("https://maps.google.com/?q=17.267449,-97.680485", "🔗 Ver Mapa")</f>
        <v>🔗 Ver Mapa</v>
      </c>
    </row>
    <row r="1539" spans="1:12" ht="43.5" x14ac:dyDescent="0.35">
      <c r="A1539" s="5" t="s">
        <v>2</v>
      </c>
      <c r="B1539" s="5" t="s">
        <v>15</v>
      </c>
      <c r="C1539" s="5" t="s">
        <v>1225</v>
      </c>
      <c r="D1539" s="8" t="s">
        <v>62</v>
      </c>
      <c r="E1539" s="16" t="s">
        <v>76</v>
      </c>
      <c r="F1539" s="16" t="s">
        <v>85</v>
      </c>
      <c r="G1539" s="8" t="s">
        <v>102</v>
      </c>
      <c r="H1539" s="8" t="s">
        <v>124</v>
      </c>
      <c r="I1539" s="16" t="s">
        <v>138</v>
      </c>
      <c r="J1539" s="16">
        <v>17.331247999999999</v>
      </c>
      <c r="K1539" s="16">
        <v>-96.487900999999994</v>
      </c>
      <c r="L1539" s="16" t="str">
        <f>HYPERLINK("https://maps.google.com/?q=17.331248,-96.487901", "🔗 Ver Mapa")</f>
        <v>🔗 Ver Mapa</v>
      </c>
    </row>
    <row r="1540" spans="1:12" ht="43.5" x14ac:dyDescent="0.35">
      <c r="A1540" s="6" t="s">
        <v>2</v>
      </c>
      <c r="B1540" s="6" t="s">
        <v>15</v>
      </c>
      <c r="C1540" s="6" t="s">
        <v>1225</v>
      </c>
      <c r="D1540" s="11" t="s">
        <v>62</v>
      </c>
      <c r="E1540" s="17" t="s">
        <v>76</v>
      </c>
      <c r="F1540" s="17" t="s">
        <v>85</v>
      </c>
      <c r="G1540" s="11" t="s">
        <v>102</v>
      </c>
      <c r="H1540" s="11" t="s">
        <v>124</v>
      </c>
      <c r="I1540" s="17" t="s">
        <v>138</v>
      </c>
      <c r="J1540" s="17">
        <v>17.335315999999999</v>
      </c>
      <c r="K1540" s="17">
        <v>-98.012051</v>
      </c>
      <c r="L1540" s="17" t="str">
        <f>HYPERLINK("https://maps.google.com/?q=17.335316,-98.012051", "🔗 Ver Mapa")</f>
        <v>🔗 Ver Mapa</v>
      </c>
    </row>
    <row r="1541" spans="1:12" ht="43.5" x14ac:dyDescent="0.35">
      <c r="A1541" s="5" t="s">
        <v>2</v>
      </c>
      <c r="B1541" s="5" t="s">
        <v>15</v>
      </c>
      <c r="C1541" s="5" t="s">
        <v>1225</v>
      </c>
      <c r="D1541" s="8" t="s">
        <v>62</v>
      </c>
      <c r="E1541" s="16" t="s">
        <v>76</v>
      </c>
      <c r="F1541" s="16" t="s">
        <v>85</v>
      </c>
      <c r="G1541" s="8" t="s">
        <v>102</v>
      </c>
      <c r="H1541" s="8" t="s">
        <v>124</v>
      </c>
      <c r="I1541" s="16" t="s">
        <v>138</v>
      </c>
      <c r="J1541" s="16">
        <v>17.338730000000002</v>
      </c>
      <c r="K1541" s="16">
        <v>-96.152553999999995</v>
      </c>
      <c r="L1541" s="16" t="str">
        <f>HYPERLINK("https://maps.google.com/?q=17.33873,-96.152554", "🔗 Ver Mapa")</f>
        <v>🔗 Ver Mapa</v>
      </c>
    </row>
    <row r="1542" spans="1:12" ht="43.5" x14ac:dyDescent="0.35">
      <c r="A1542" s="6" t="s">
        <v>2</v>
      </c>
      <c r="B1542" s="6" t="s">
        <v>15</v>
      </c>
      <c r="C1542" s="6" t="s">
        <v>1225</v>
      </c>
      <c r="D1542" s="11" t="s">
        <v>62</v>
      </c>
      <c r="E1542" s="17" t="s">
        <v>76</v>
      </c>
      <c r="F1542" s="17" t="s">
        <v>85</v>
      </c>
      <c r="G1542" s="11" t="s">
        <v>102</v>
      </c>
      <c r="H1542" s="11" t="s">
        <v>124</v>
      </c>
      <c r="I1542" s="17" t="s">
        <v>138</v>
      </c>
      <c r="J1542" s="17">
        <v>17.361765999999999</v>
      </c>
      <c r="K1542" s="17">
        <v>-95.922253999999995</v>
      </c>
      <c r="L1542" s="17" t="str">
        <f>HYPERLINK("https://maps.google.com/?q=17.361766,-95.922254", "🔗 Ver Mapa")</f>
        <v>🔗 Ver Mapa</v>
      </c>
    </row>
    <row r="1543" spans="1:12" ht="43.5" x14ac:dyDescent="0.35">
      <c r="A1543" s="5" t="s">
        <v>2</v>
      </c>
      <c r="B1543" s="5" t="s">
        <v>15</v>
      </c>
      <c r="C1543" s="5" t="s">
        <v>1225</v>
      </c>
      <c r="D1543" s="8" t="s">
        <v>62</v>
      </c>
      <c r="E1543" s="16" t="s">
        <v>76</v>
      </c>
      <c r="F1543" s="16" t="s">
        <v>85</v>
      </c>
      <c r="G1543" s="8" t="s">
        <v>102</v>
      </c>
      <c r="H1543" s="8" t="s">
        <v>124</v>
      </c>
      <c r="I1543" s="16" t="s">
        <v>138</v>
      </c>
      <c r="J1543" s="16">
        <v>17.458341000000001</v>
      </c>
      <c r="K1543" s="16">
        <v>-97.225285</v>
      </c>
      <c r="L1543" s="16" t="str">
        <f>HYPERLINK("https://maps.google.com/?q=17.458341,-97.225285", "🔗 Ver Mapa")</f>
        <v>🔗 Ver Mapa</v>
      </c>
    </row>
    <row r="1544" spans="1:12" ht="43.5" x14ac:dyDescent="0.35">
      <c r="A1544" s="6" t="s">
        <v>2</v>
      </c>
      <c r="B1544" s="6" t="s">
        <v>15</v>
      </c>
      <c r="C1544" s="6" t="s">
        <v>1225</v>
      </c>
      <c r="D1544" s="11" t="s">
        <v>62</v>
      </c>
      <c r="E1544" s="17" t="s">
        <v>76</v>
      </c>
      <c r="F1544" s="17" t="s">
        <v>85</v>
      </c>
      <c r="G1544" s="11" t="s">
        <v>102</v>
      </c>
      <c r="H1544" s="11" t="s">
        <v>124</v>
      </c>
      <c r="I1544" s="17" t="s">
        <v>138</v>
      </c>
      <c r="J1544" s="17">
        <v>17.501442000000001</v>
      </c>
      <c r="K1544" s="17">
        <v>-98.142583999999999</v>
      </c>
      <c r="L1544" s="17" t="str">
        <f>HYPERLINK("https://maps.google.com/?q=17.501442,-98.142584", "🔗 Ver Mapa")</f>
        <v>🔗 Ver Mapa</v>
      </c>
    </row>
    <row r="1545" spans="1:12" ht="43.5" x14ac:dyDescent="0.35">
      <c r="A1545" s="5" t="s">
        <v>2</v>
      </c>
      <c r="B1545" s="5" t="s">
        <v>15</v>
      </c>
      <c r="C1545" s="5" t="s">
        <v>1225</v>
      </c>
      <c r="D1545" s="8" t="s">
        <v>62</v>
      </c>
      <c r="E1545" s="16" t="s">
        <v>76</v>
      </c>
      <c r="F1545" s="16" t="s">
        <v>85</v>
      </c>
      <c r="G1545" s="8" t="s">
        <v>102</v>
      </c>
      <c r="H1545" s="8" t="s">
        <v>124</v>
      </c>
      <c r="I1545" s="16" t="s">
        <v>138</v>
      </c>
      <c r="J1545" s="16">
        <v>17.511838000000001</v>
      </c>
      <c r="K1545" s="16">
        <v>-97.488547999999994</v>
      </c>
      <c r="L1545" s="16" t="str">
        <f>HYPERLINK("https://maps.google.com/?q=17.511838,-97.488548", "🔗 Ver Mapa")</f>
        <v>🔗 Ver Mapa</v>
      </c>
    </row>
    <row r="1546" spans="1:12" ht="43.5" x14ac:dyDescent="0.35">
      <c r="A1546" s="6" t="s">
        <v>2</v>
      </c>
      <c r="B1546" s="6" t="s">
        <v>15</v>
      </c>
      <c r="C1546" s="6" t="s">
        <v>1225</v>
      </c>
      <c r="D1546" s="11" t="s">
        <v>62</v>
      </c>
      <c r="E1546" s="17" t="s">
        <v>76</v>
      </c>
      <c r="F1546" s="17" t="s">
        <v>85</v>
      </c>
      <c r="G1546" s="11" t="s">
        <v>102</v>
      </c>
      <c r="H1546" s="11" t="s">
        <v>124</v>
      </c>
      <c r="I1546" s="17" t="s">
        <v>138</v>
      </c>
      <c r="J1546" s="17">
        <v>17.724615</v>
      </c>
      <c r="K1546" s="17">
        <v>-97.323898</v>
      </c>
      <c r="L1546" s="17" t="str">
        <f>HYPERLINK("https://maps.google.com/?q=17.724615,-97.323898", "🔗 Ver Mapa")</f>
        <v>🔗 Ver Mapa</v>
      </c>
    </row>
    <row r="1547" spans="1:12" ht="43.5" x14ac:dyDescent="0.35">
      <c r="A1547" s="5" t="s">
        <v>2</v>
      </c>
      <c r="B1547" s="5" t="s">
        <v>15</v>
      </c>
      <c r="C1547" s="5" t="s">
        <v>1225</v>
      </c>
      <c r="D1547" s="8" t="s">
        <v>62</v>
      </c>
      <c r="E1547" s="16" t="s">
        <v>76</v>
      </c>
      <c r="F1547" s="16" t="s">
        <v>85</v>
      </c>
      <c r="G1547" s="8" t="s">
        <v>102</v>
      </c>
      <c r="H1547" s="8" t="s">
        <v>124</v>
      </c>
      <c r="I1547" s="16" t="s">
        <v>138</v>
      </c>
      <c r="J1547" s="16">
        <v>17.801687000000001</v>
      </c>
      <c r="K1547" s="16">
        <v>-96.959688</v>
      </c>
      <c r="L1547" s="16" t="str">
        <f>HYPERLINK("https://maps.google.com/?q=17.801687,-96.959688", "🔗 Ver Mapa")</f>
        <v>🔗 Ver Mapa</v>
      </c>
    </row>
    <row r="1548" spans="1:12" ht="43.5" x14ac:dyDescent="0.35">
      <c r="A1548" s="6" t="s">
        <v>2</v>
      </c>
      <c r="B1548" s="6" t="s">
        <v>15</v>
      </c>
      <c r="C1548" s="6" t="s">
        <v>1225</v>
      </c>
      <c r="D1548" s="11" t="s">
        <v>62</v>
      </c>
      <c r="E1548" s="17" t="s">
        <v>76</v>
      </c>
      <c r="F1548" s="17" t="s">
        <v>85</v>
      </c>
      <c r="G1548" s="11" t="s">
        <v>102</v>
      </c>
      <c r="H1548" s="11" t="s">
        <v>124</v>
      </c>
      <c r="I1548" s="17" t="s">
        <v>138</v>
      </c>
      <c r="J1548" s="17">
        <v>17.806621</v>
      </c>
      <c r="K1548" s="17">
        <v>-97.776161999999999</v>
      </c>
      <c r="L1548" s="17" t="str">
        <f>HYPERLINK("https://maps.google.com/?q=17.806621,-97.776162", "🔗 Ver Mapa")</f>
        <v>🔗 Ver Mapa</v>
      </c>
    </row>
    <row r="1549" spans="1:12" ht="43.5" x14ac:dyDescent="0.35">
      <c r="A1549" s="5" t="s">
        <v>2</v>
      </c>
      <c r="B1549" s="5" t="s">
        <v>15</v>
      </c>
      <c r="C1549" s="5" t="s">
        <v>1225</v>
      </c>
      <c r="D1549" s="8" t="s">
        <v>62</v>
      </c>
      <c r="E1549" s="16" t="s">
        <v>76</v>
      </c>
      <c r="F1549" s="16" t="s">
        <v>85</v>
      </c>
      <c r="G1549" s="8" t="s">
        <v>102</v>
      </c>
      <c r="H1549" s="8" t="s">
        <v>124</v>
      </c>
      <c r="I1549" s="16" t="s">
        <v>138</v>
      </c>
      <c r="J1549" s="16">
        <v>18.081168999999999</v>
      </c>
      <c r="K1549" s="16">
        <v>-96.118475000000004</v>
      </c>
      <c r="L1549" s="16" t="str">
        <f>HYPERLINK("https://maps.google.com/?q=18.081169,-96.118475", "🔗 Ver Mapa")</f>
        <v>🔗 Ver Mapa</v>
      </c>
    </row>
    <row r="1550" spans="1:12" ht="43.5" x14ac:dyDescent="0.35">
      <c r="A1550" s="6" t="s">
        <v>2</v>
      </c>
      <c r="B1550" s="6" t="s">
        <v>15</v>
      </c>
      <c r="C1550" s="6" t="s">
        <v>1225</v>
      </c>
      <c r="D1550" s="11" t="s">
        <v>62</v>
      </c>
      <c r="E1550" s="17" t="s">
        <v>76</v>
      </c>
      <c r="F1550" s="17" t="s">
        <v>85</v>
      </c>
      <c r="G1550" s="11" t="s">
        <v>102</v>
      </c>
      <c r="H1550" s="11" t="s">
        <v>124</v>
      </c>
      <c r="I1550" s="17" t="s">
        <v>138</v>
      </c>
      <c r="J1550" s="17">
        <v>18.13222</v>
      </c>
      <c r="K1550" s="17">
        <v>-97.070751000000001</v>
      </c>
      <c r="L1550" s="17" t="str">
        <f>HYPERLINK("https://maps.google.com/?q=18.13222,-97.070751", "🔗 Ver Mapa")</f>
        <v>🔗 Ver Mapa</v>
      </c>
    </row>
    <row r="1551" spans="1:12" ht="72.5" x14ac:dyDescent="0.35">
      <c r="A1551" s="5" t="s">
        <v>225</v>
      </c>
      <c r="B1551" s="5" t="s">
        <v>226</v>
      </c>
      <c r="C1551" s="5" t="s">
        <v>1226</v>
      </c>
      <c r="D1551" s="8" t="s">
        <v>69</v>
      </c>
      <c r="E1551" s="16" t="s">
        <v>78</v>
      </c>
      <c r="F1551" s="16" t="s">
        <v>90</v>
      </c>
      <c r="G1551" s="8" t="s">
        <v>1227</v>
      </c>
      <c r="H1551" s="8" t="s">
        <v>1228</v>
      </c>
      <c r="I1551" s="16" t="s">
        <v>138</v>
      </c>
      <c r="J1551" s="16">
        <v>17.024809999999999</v>
      </c>
      <c r="K1551" s="16">
        <v>-95.921695</v>
      </c>
      <c r="L1551" s="16" t="str">
        <f>HYPERLINK("https://maps.google.com/?q=17.02481,-95.921695", "🔗 Ver Mapa")</f>
        <v>🔗 Ver Mapa</v>
      </c>
    </row>
    <row r="1552" spans="1:12" ht="72.5" x14ac:dyDescent="0.35">
      <c r="A1552" s="6" t="s">
        <v>225</v>
      </c>
      <c r="B1552" s="6" t="s">
        <v>226</v>
      </c>
      <c r="C1552" s="6" t="s">
        <v>1226</v>
      </c>
      <c r="D1552" s="11" t="s">
        <v>69</v>
      </c>
      <c r="E1552" s="17" t="s">
        <v>78</v>
      </c>
      <c r="F1552" s="17" t="s">
        <v>90</v>
      </c>
      <c r="G1552" s="11" t="s">
        <v>1227</v>
      </c>
      <c r="H1552" s="11" t="s">
        <v>1228</v>
      </c>
      <c r="I1552" s="17" t="s">
        <v>138</v>
      </c>
      <c r="J1552" s="17">
        <v>17.027652</v>
      </c>
      <c r="K1552" s="17">
        <v>-95.921115999999998</v>
      </c>
      <c r="L1552" s="17" t="str">
        <f>HYPERLINK("https://maps.google.com/?q=17.027652,-95.921116", "🔗 Ver Mapa")</f>
        <v>🔗 Ver Mapa</v>
      </c>
    </row>
    <row r="1553" spans="1:12" ht="72.5" x14ac:dyDescent="0.35">
      <c r="A1553" s="5" t="s">
        <v>225</v>
      </c>
      <c r="B1553" s="5" t="s">
        <v>226</v>
      </c>
      <c r="C1553" s="5" t="s">
        <v>1226</v>
      </c>
      <c r="D1553" s="8" t="s">
        <v>69</v>
      </c>
      <c r="E1553" s="16" t="s">
        <v>78</v>
      </c>
      <c r="F1553" s="16" t="s">
        <v>90</v>
      </c>
      <c r="G1553" s="8" t="s">
        <v>1227</v>
      </c>
      <c r="H1553" s="8" t="s">
        <v>1228</v>
      </c>
      <c r="I1553" s="16" t="s">
        <v>138</v>
      </c>
      <c r="J1553" s="16">
        <v>17.028970000000001</v>
      </c>
      <c r="K1553" s="16">
        <v>-95.921655000000001</v>
      </c>
      <c r="L1553" s="16" t="str">
        <f>HYPERLINK("https://maps.google.com/?q=17.02897,-95.921655", "🔗 Ver Mapa")</f>
        <v>🔗 Ver Mapa</v>
      </c>
    </row>
    <row r="1554" spans="1:12" ht="43.5" x14ac:dyDescent="0.35">
      <c r="A1554" s="6" t="s">
        <v>4</v>
      </c>
      <c r="B1554" s="6" t="s">
        <v>17</v>
      </c>
      <c r="C1554" s="6" t="s">
        <v>1229</v>
      </c>
      <c r="D1554" s="11" t="s">
        <v>64</v>
      </c>
      <c r="E1554" s="17" t="s">
        <v>73</v>
      </c>
      <c r="F1554" s="17" t="s">
        <v>187</v>
      </c>
      <c r="G1554" s="11" t="s">
        <v>1230</v>
      </c>
      <c r="H1554" s="11" t="s">
        <v>1231</v>
      </c>
      <c r="I1554" s="17" t="s">
        <v>296</v>
      </c>
      <c r="J1554" s="17">
        <v>17.422198000000002</v>
      </c>
      <c r="K1554" s="17">
        <v>-97.315862999999993</v>
      </c>
      <c r="L1554" s="17" t="str">
        <f>HYPERLINK("https://maps.google.com/?q=17.422198,-97.315863", "🔗 Ver Mapa")</f>
        <v>🔗 Ver Mapa</v>
      </c>
    </row>
    <row r="1555" spans="1:12" ht="43.5" x14ac:dyDescent="0.35">
      <c r="A1555" s="5" t="s">
        <v>4</v>
      </c>
      <c r="B1555" s="5" t="s">
        <v>17</v>
      </c>
      <c r="C1555" s="5" t="s">
        <v>1229</v>
      </c>
      <c r="D1555" s="8" t="s">
        <v>64</v>
      </c>
      <c r="E1555" s="16" t="s">
        <v>73</v>
      </c>
      <c r="F1555" s="16" t="s">
        <v>187</v>
      </c>
      <c r="G1555" s="8" t="s">
        <v>1230</v>
      </c>
      <c r="H1555" s="8" t="s">
        <v>1231</v>
      </c>
      <c r="I1555" s="16" t="s">
        <v>296</v>
      </c>
      <c r="J1555" s="16">
        <v>17.422208000000001</v>
      </c>
      <c r="K1555" s="16">
        <v>-97.315910000000002</v>
      </c>
      <c r="L1555" s="16" t="str">
        <f>HYPERLINK("https://maps.google.com/?q=17.422208,-97.31591", "🔗 Ver Mapa")</f>
        <v>🔗 Ver Mapa</v>
      </c>
    </row>
    <row r="1556" spans="1:12" ht="43.5" x14ac:dyDescent="0.35">
      <c r="A1556" s="6" t="s">
        <v>4</v>
      </c>
      <c r="B1556" s="6" t="s">
        <v>17</v>
      </c>
      <c r="C1556" s="6" t="s">
        <v>1229</v>
      </c>
      <c r="D1556" s="11" t="s">
        <v>64</v>
      </c>
      <c r="E1556" s="17" t="s">
        <v>73</v>
      </c>
      <c r="F1556" s="17" t="s">
        <v>187</v>
      </c>
      <c r="G1556" s="11" t="s">
        <v>1230</v>
      </c>
      <c r="H1556" s="11" t="s">
        <v>1231</v>
      </c>
      <c r="I1556" s="17" t="s">
        <v>296</v>
      </c>
      <c r="J1556" s="17">
        <v>17.422443999999999</v>
      </c>
      <c r="K1556" s="17">
        <v>-97.315023999999994</v>
      </c>
      <c r="L1556" s="17" t="str">
        <f>HYPERLINK("https://maps.google.com/?q=17.422444,-97.315024", "🔗 Ver Mapa")</f>
        <v>🔗 Ver Mapa</v>
      </c>
    </row>
    <row r="1557" spans="1:12" ht="43.5" x14ac:dyDescent="0.35">
      <c r="A1557" s="5" t="s">
        <v>4</v>
      </c>
      <c r="B1557" s="5" t="s">
        <v>17</v>
      </c>
      <c r="C1557" s="5" t="s">
        <v>1229</v>
      </c>
      <c r="D1557" s="8" t="s">
        <v>64</v>
      </c>
      <c r="E1557" s="16" t="s">
        <v>73</v>
      </c>
      <c r="F1557" s="16" t="s">
        <v>187</v>
      </c>
      <c r="G1557" s="8" t="s">
        <v>1230</v>
      </c>
      <c r="H1557" s="8" t="s">
        <v>1231</v>
      </c>
      <c r="I1557" s="16" t="s">
        <v>296</v>
      </c>
      <c r="J1557" s="16">
        <v>17.422654000000001</v>
      </c>
      <c r="K1557" s="16">
        <v>-97.314165000000003</v>
      </c>
      <c r="L1557" s="16" t="str">
        <f>HYPERLINK("https://maps.google.com/?q=17.422654,-97.314165", "🔗 Ver Mapa")</f>
        <v>🔗 Ver Mapa</v>
      </c>
    </row>
    <row r="1558" spans="1:12" ht="43.5" x14ac:dyDescent="0.35">
      <c r="A1558" s="6" t="s">
        <v>4</v>
      </c>
      <c r="B1558" s="6" t="s">
        <v>17</v>
      </c>
      <c r="C1558" s="6" t="s">
        <v>1229</v>
      </c>
      <c r="D1558" s="11" t="s">
        <v>64</v>
      </c>
      <c r="E1558" s="17" t="s">
        <v>73</v>
      </c>
      <c r="F1558" s="17" t="s">
        <v>187</v>
      </c>
      <c r="G1558" s="11" t="s">
        <v>1230</v>
      </c>
      <c r="H1558" s="11" t="s">
        <v>1231</v>
      </c>
      <c r="I1558" s="17" t="s">
        <v>296</v>
      </c>
      <c r="J1558" s="17">
        <v>17.422854999999998</v>
      </c>
      <c r="K1558" s="17">
        <v>-97.313354000000004</v>
      </c>
      <c r="L1558" s="17" t="str">
        <f>HYPERLINK("https://maps.google.com/?q=17.422855,-97.313354", "🔗 Ver Mapa")</f>
        <v>🔗 Ver Mapa</v>
      </c>
    </row>
    <row r="1559" spans="1:12" ht="43.5" x14ac:dyDescent="0.35">
      <c r="A1559" s="5" t="s">
        <v>4</v>
      </c>
      <c r="B1559" s="5" t="s">
        <v>17</v>
      </c>
      <c r="C1559" s="5" t="s">
        <v>1229</v>
      </c>
      <c r="D1559" s="8" t="s">
        <v>64</v>
      </c>
      <c r="E1559" s="16" t="s">
        <v>73</v>
      </c>
      <c r="F1559" s="16" t="s">
        <v>187</v>
      </c>
      <c r="G1559" s="8" t="s">
        <v>1230</v>
      </c>
      <c r="H1559" s="8" t="s">
        <v>1231</v>
      </c>
      <c r="I1559" s="16" t="s">
        <v>296</v>
      </c>
      <c r="J1559" s="16">
        <v>17.423099000000001</v>
      </c>
      <c r="K1559" s="16">
        <v>-97.316697000000005</v>
      </c>
      <c r="L1559" s="16" t="str">
        <f>HYPERLINK("https://maps.google.com/?q=17.423099,-97.316697", "🔗 Ver Mapa")</f>
        <v>🔗 Ver Mapa</v>
      </c>
    </row>
    <row r="1560" spans="1:12" ht="43.5" x14ac:dyDescent="0.35">
      <c r="A1560" s="6" t="s">
        <v>4</v>
      </c>
      <c r="B1560" s="6" t="s">
        <v>17</v>
      </c>
      <c r="C1560" s="6" t="s">
        <v>1229</v>
      </c>
      <c r="D1560" s="11" t="s">
        <v>64</v>
      </c>
      <c r="E1560" s="17" t="s">
        <v>73</v>
      </c>
      <c r="F1560" s="17" t="s">
        <v>187</v>
      </c>
      <c r="G1560" s="11" t="s">
        <v>1230</v>
      </c>
      <c r="H1560" s="11" t="s">
        <v>1231</v>
      </c>
      <c r="I1560" s="17" t="s">
        <v>296</v>
      </c>
      <c r="J1560" s="17">
        <v>17.423375</v>
      </c>
      <c r="K1560" s="17">
        <v>-97.311814999999996</v>
      </c>
      <c r="L1560" s="17" t="str">
        <f>HYPERLINK("https://maps.google.com/?q=17.423375,-97.311815", "🔗 Ver Mapa")</f>
        <v>🔗 Ver Mapa</v>
      </c>
    </row>
    <row r="1561" spans="1:12" ht="43.5" x14ac:dyDescent="0.35">
      <c r="A1561" s="5" t="s">
        <v>4</v>
      </c>
      <c r="B1561" s="5" t="s">
        <v>17</v>
      </c>
      <c r="C1561" s="5" t="s">
        <v>1229</v>
      </c>
      <c r="D1561" s="8" t="s">
        <v>64</v>
      </c>
      <c r="E1561" s="16" t="s">
        <v>73</v>
      </c>
      <c r="F1561" s="16" t="s">
        <v>187</v>
      </c>
      <c r="G1561" s="8" t="s">
        <v>1230</v>
      </c>
      <c r="H1561" s="8" t="s">
        <v>1231</v>
      </c>
      <c r="I1561" s="16" t="s">
        <v>296</v>
      </c>
      <c r="J1561" s="16">
        <v>17.423568</v>
      </c>
      <c r="K1561" s="16">
        <v>-97.316500000000005</v>
      </c>
      <c r="L1561" s="16" t="str">
        <f>HYPERLINK("https://maps.google.com/?q=17.423568,-97.3165", "🔗 Ver Mapa")</f>
        <v>🔗 Ver Mapa</v>
      </c>
    </row>
    <row r="1562" spans="1:12" ht="43.5" x14ac:dyDescent="0.35">
      <c r="A1562" s="6" t="s">
        <v>4</v>
      </c>
      <c r="B1562" s="6" t="s">
        <v>17</v>
      </c>
      <c r="C1562" s="6" t="s">
        <v>1229</v>
      </c>
      <c r="D1562" s="11" t="s">
        <v>64</v>
      </c>
      <c r="E1562" s="17" t="s">
        <v>73</v>
      </c>
      <c r="F1562" s="17" t="s">
        <v>187</v>
      </c>
      <c r="G1562" s="11" t="s">
        <v>1230</v>
      </c>
      <c r="H1562" s="11" t="s">
        <v>1231</v>
      </c>
      <c r="I1562" s="17" t="s">
        <v>296</v>
      </c>
      <c r="J1562" s="17">
        <v>17.424719</v>
      </c>
      <c r="K1562" s="17">
        <v>-97.310474999999997</v>
      </c>
      <c r="L1562" s="17" t="str">
        <f>HYPERLINK("https://maps.google.com/?q=17.424719,-97.310475", "🔗 Ver Mapa")</f>
        <v>🔗 Ver Mapa</v>
      </c>
    </row>
    <row r="1563" spans="1:12" ht="43.5" x14ac:dyDescent="0.35">
      <c r="A1563" s="5" t="s">
        <v>4</v>
      </c>
      <c r="B1563" s="5" t="s">
        <v>17</v>
      </c>
      <c r="C1563" s="5" t="s">
        <v>1229</v>
      </c>
      <c r="D1563" s="8" t="s">
        <v>64</v>
      </c>
      <c r="E1563" s="16" t="s">
        <v>73</v>
      </c>
      <c r="F1563" s="16" t="s">
        <v>187</v>
      </c>
      <c r="G1563" s="8" t="s">
        <v>1230</v>
      </c>
      <c r="H1563" s="8" t="s">
        <v>1231</v>
      </c>
      <c r="I1563" s="16" t="s">
        <v>296</v>
      </c>
      <c r="J1563" s="16">
        <v>17.425521</v>
      </c>
      <c r="K1563" s="16">
        <v>-97.310167000000007</v>
      </c>
      <c r="L1563" s="16" t="str">
        <f>HYPERLINK("https://maps.google.com/?q=17.425521,-97.310167", "🔗 Ver Mapa")</f>
        <v>🔗 Ver Mapa</v>
      </c>
    </row>
    <row r="1564" spans="1:12" ht="43.5" x14ac:dyDescent="0.35">
      <c r="A1564" s="6" t="s">
        <v>4</v>
      </c>
      <c r="B1564" s="6" t="s">
        <v>17</v>
      </c>
      <c r="C1564" s="6" t="s">
        <v>1229</v>
      </c>
      <c r="D1564" s="11" t="s">
        <v>64</v>
      </c>
      <c r="E1564" s="17" t="s">
        <v>73</v>
      </c>
      <c r="F1564" s="17" t="s">
        <v>187</v>
      </c>
      <c r="G1564" s="11" t="s">
        <v>1230</v>
      </c>
      <c r="H1564" s="11" t="s">
        <v>1231</v>
      </c>
      <c r="I1564" s="17" t="s">
        <v>296</v>
      </c>
      <c r="J1564" s="17">
        <v>17.427078999999999</v>
      </c>
      <c r="K1564" s="17">
        <v>-97.309606000000002</v>
      </c>
      <c r="L1564" s="17" t="str">
        <f>HYPERLINK("https://maps.google.com/?q=17.427079,-97.309606", "🔗 Ver Mapa")</f>
        <v>🔗 Ver Mapa</v>
      </c>
    </row>
    <row r="1565" spans="1:12" ht="43.5" x14ac:dyDescent="0.35">
      <c r="A1565" s="5" t="s">
        <v>4</v>
      </c>
      <c r="B1565" s="5" t="s">
        <v>17</v>
      </c>
      <c r="C1565" s="5" t="s">
        <v>1229</v>
      </c>
      <c r="D1565" s="8" t="s">
        <v>64</v>
      </c>
      <c r="E1565" s="16" t="s">
        <v>73</v>
      </c>
      <c r="F1565" s="16" t="s">
        <v>187</v>
      </c>
      <c r="G1565" s="8" t="s">
        <v>1230</v>
      </c>
      <c r="H1565" s="8" t="s">
        <v>1231</v>
      </c>
      <c r="I1565" s="16" t="s">
        <v>296</v>
      </c>
      <c r="J1565" s="16">
        <v>17.428438</v>
      </c>
      <c r="K1565" s="16">
        <v>-97.308991000000006</v>
      </c>
      <c r="L1565" s="16" t="str">
        <f>HYPERLINK("https://maps.google.com/?q=17.428438,-97.308991", "🔗 Ver Mapa")</f>
        <v>🔗 Ver Mapa</v>
      </c>
    </row>
    <row r="1566" spans="1:12" ht="43.5" x14ac:dyDescent="0.35">
      <c r="A1566" s="6" t="s">
        <v>4</v>
      </c>
      <c r="B1566" s="6" t="s">
        <v>17</v>
      </c>
      <c r="C1566" s="6" t="s">
        <v>1229</v>
      </c>
      <c r="D1566" s="11" t="s">
        <v>64</v>
      </c>
      <c r="E1566" s="17" t="s">
        <v>73</v>
      </c>
      <c r="F1566" s="17" t="s">
        <v>187</v>
      </c>
      <c r="G1566" s="11" t="s">
        <v>1230</v>
      </c>
      <c r="H1566" s="11" t="s">
        <v>1231</v>
      </c>
      <c r="I1566" s="17" t="s">
        <v>296</v>
      </c>
      <c r="J1566" s="17">
        <v>17.429040000000001</v>
      </c>
      <c r="K1566" s="17">
        <v>-97.308581000000004</v>
      </c>
      <c r="L1566" s="17" t="str">
        <f>HYPERLINK("https://maps.google.com/?q=17.42904,-97.308581", "🔗 Ver Mapa")</f>
        <v>🔗 Ver Mapa</v>
      </c>
    </row>
    <row r="1567" spans="1:12" ht="43.5" x14ac:dyDescent="0.35">
      <c r="A1567" s="5" t="s">
        <v>4</v>
      </c>
      <c r="B1567" s="5" t="s">
        <v>17</v>
      </c>
      <c r="C1567" s="5" t="s">
        <v>1229</v>
      </c>
      <c r="D1567" s="8" t="s">
        <v>64</v>
      </c>
      <c r="E1567" s="16" t="s">
        <v>73</v>
      </c>
      <c r="F1567" s="16" t="s">
        <v>187</v>
      </c>
      <c r="G1567" s="8" t="s">
        <v>1230</v>
      </c>
      <c r="H1567" s="8" t="s">
        <v>1231</v>
      </c>
      <c r="I1567" s="16" t="s">
        <v>296</v>
      </c>
      <c r="J1567" s="16">
        <v>17.430064999999999</v>
      </c>
      <c r="K1567" s="16">
        <v>-97.307950000000005</v>
      </c>
      <c r="L1567" s="16" t="str">
        <f>HYPERLINK("https://maps.google.com/?q=17.430065,-97.30795", "🔗 Ver Mapa")</f>
        <v>🔗 Ver Mapa</v>
      </c>
    </row>
    <row r="1568" spans="1:12" ht="29" x14ac:dyDescent="0.35">
      <c r="A1568" s="6" t="s">
        <v>1185</v>
      </c>
      <c r="B1568" s="6" t="s">
        <v>1186</v>
      </c>
      <c r="C1568" s="6" t="s">
        <v>1232</v>
      </c>
      <c r="D1568" s="11" t="s">
        <v>65</v>
      </c>
      <c r="E1568" s="17" t="s">
        <v>75</v>
      </c>
      <c r="F1568" s="17" t="s">
        <v>86</v>
      </c>
      <c r="G1568" s="11" t="s">
        <v>103</v>
      </c>
      <c r="H1568" s="11" t="s">
        <v>125</v>
      </c>
      <c r="I1568" s="17" t="s">
        <v>138</v>
      </c>
      <c r="J1568" s="17">
        <v>17.061080931755999</v>
      </c>
      <c r="K1568" s="17">
        <v>-96.725508424501996</v>
      </c>
      <c r="L1568" s="17" t="str">
        <f>HYPERLINK("https://maps.google.com/?q=17.061080931756,-96.725508424502", "🔗 Ver Mapa")</f>
        <v>🔗 Ver Mapa</v>
      </c>
    </row>
    <row r="1569" spans="1:12" ht="72.5" x14ac:dyDescent="0.35">
      <c r="A1569" s="5" t="s">
        <v>7</v>
      </c>
      <c r="B1569" s="5" t="s">
        <v>20</v>
      </c>
      <c r="C1569" s="5" t="s">
        <v>1233</v>
      </c>
      <c r="D1569" s="8" t="s">
        <v>67</v>
      </c>
      <c r="E1569" s="16" t="s">
        <v>77</v>
      </c>
      <c r="F1569" s="16" t="s">
        <v>201</v>
      </c>
      <c r="G1569" s="8" t="s">
        <v>652</v>
      </c>
      <c r="H1569" s="8" t="s">
        <v>1035</v>
      </c>
      <c r="I1569" s="16" t="s">
        <v>138</v>
      </c>
      <c r="J1569" s="16">
        <v>16.336612487055</v>
      </c>
      <c r="K1569" s="16">
        <v>-95.228923979168002</v>
      </c>
      <c r="L1569" s="16" t="str">
        <f>HYPERLINK("https://maps.google.com/?q=16.336612487055,-95.228923979168", "🔗 Ver Mapa")</f>
        <v>🔗 Ver Mapa</v>
      </c>
    </row>
    <row r="1570" spans="1:12" ht="72.5" x14ac:dyDescent="0.35">
      <c r="A1570" s="6" t="s">
        <v>7</v>
      </c>
      <c r="B1570" s="6" t="s">
        <v>20</v>
      </c>
      <c r="C1570" s="6" t="s">
        <v>1233</v>
      </c>
      <c r="D1570" s="11" t="s">
        <v>67</v>
      </c>
      <c r="E1570" s="17" t="s">
        <v>77</v>
      </c>
      <c r="F1570" s="17" t="s">
        <v>201</v>
      </c>
      <c r="G1570" s="11" t="s">
        <v>652</v>
      </c>
      <c r="H1570" s="11" t="s">
        <v>1035</v>
      </c>
      <c r="I1570" s="17" t="s">
        <v>138</v>
      </c>
      <c r="J1570" s="17">
        <v>16.336621869584</v>
      </c>
      <c r="K1570" s="17">
        <v>-95.228809052743998</v>
      </c>
      <c r="L1570" s="17" t="str">
        <f>HYPERLINK("https://maps.google.com/?q=16.336621869584,-95.228809052744", "🔗 Ver Mapa")</f>
        <v>🔗 Ver Mapa</v>
      </c>
    </row>
    <row r="1571" spans="1:12" ht="72.5" x14ac:dyDescent="0.35">
      <c r="A1571" s="5" t="s">
        <v>7</v>
      </c>
      <c r="B1571" s="5" t="s">
        <v>20</v>
      </c>
      <c r="C1571" s="5" t="s">
        <v>1233</v>
      </c>
      <c r="D1571" s="8" t="s">
        <v>67</v>
      </c>
      <c r="E1571" s="16" t="s">
        <v>77</v>
      </c>
      <c r="F1571" s="16" t="s">
        <v>201</v>
      </c>
      <c r="G1571" s="8" t="s">
        <v>652</v>
      </c>
      <c r="H1571" s="8" t="s">
        <v>1035</v>
      </c>
      <c r="I1571" s="16" t="s">
        <v>138</v>
      </c>
      <c r="J1571" s="16">
        <v>16.336635000000001</v>
      </c>
      <c r="K1571" s="16">
        <v>-95.229425000000006</v>
      </c>
      <c r="L1571" s="16" t="str">
        <f>HYPERLINK("https://maps.google.com/?q=16.336635,-95.229425", "🔗 Ver Mapa")</f>
        <v>🔗 Ver Mapa</v>
      </c>
    </row>
    <row r="1572" spans="1:12" ht="72.5" x14ac:dyDescent="0.35">
      <c r="A1572" s="6" t="s">
        <v>7</v>
      </c>
      <c r="B1572" s="6" t="s">
        <v>20</v>
      </c>
      <c r="C1572" s="6" t="s">
        <v>1233</v>
      </c>
      <c r="D1572" s="11" t="s">
        <v>67</v>
      </c>
      <c r="E1572" s="17" t="s">
        <v>77</v>
      </c>
      <c r="F1572" s="17" t="s">
        <v>201</v>
      </c>
      <c r="G1572" s="11" t="s">
        <v>652</v>
      </c>
      <c r="H1572" s="11" t="s">
        <v>1035</v>
      </c>
      <c r="I1572" s="17" t="s">
        <v>138</v>
      </c>
      <c r="J1572" s="17">
        <v>16.3367</v>
      </c>
      <c r="K1572" s="17">
        <v>-95.228165000000004</v>
      </c>
      <c r="L1572" s="17" t="str">
        <f>HYPERLINK("https://maps.google.com/?q=16.3367,-95.228165", "🔗 Ver Mapa")</f>
        <v>🔗 Ver Mapa</v>
      </c>
    </row>
    <row r="1573" spans="1:12" ht="72.5" x14ac:dyDescent="0.35">
      <c r="A1573" s="5" t="s">
        <v>7</v>
      </c>
      <c r="B1573" s="5" t="s">
        <v>20</v>
      </c>
      <c r="C1573" s="5" t="s">
        <v>1233</v>
      </c>
      <c r="D1573" s="8" t="s">
        <v>67</v>
      </c>
      <c r="E1573" s="16" t="s">
        <v>77</v>
      </c>
      <c r="F1573" s="16" t="s">
        <v>201</v>
      </c>
      <c r="G1573" s="8" t="s">
        <v>652</v>
      </c>
      <c r="H1573" s="8" t="s">
        <v>1035</v>
      </c>
      <c r="I1573" s="16" t="s">
        <v>138</v>
      </c>
      <c r="J1573" s="16">
        <v>16.336799817688</v>
      </c>
      <c r="K1573" s="16">
        <v>-95.230201100524994</v>
      </c>
      <c r="L1573" s="16" t="str">
        <f>HYPERLINK("https://maps.google.com/?q=16.336799817688,-95.230201100525", "🔗 Ver Mapa")</f>
        <v>🔗 Ver Mapa</v>
      </c>
    </row>
    <row r="1574" spans="1:12" ht="72.5" x14ac:dyDescent="0.35">
      <c r="A1574" s="6" t="s">
        <v>7</v>
      </c>
      <c r="B1574" s="6" t="s">
        <v>20</v>
      </c>
      <c r="C1574" s="6" t="s">
        <v>1233</v>
      </c>
      <c r="D1574" s="11" t="s">
        <v>67</v>
      </c>
      <c r="E1574" s="17" t="s">
        <v>77</v>
      </c>
      <c r="F1574" s="17" t="s">
        <v>201</v>
      </c>
      <c r="G1574" s="11" t="s">
        <v>652</v>
      </c>
      <c r="H1574" s="11" t="s">
        <v>1035</v>
      </c>
      <c r="I1574" s="17" t="s">
        <v>138</v>
      </c>
      <c r="J1574" s="17">
        <v>16.336839000000001</v>
      </c>
      <c r="K1574" s="17">
        <v>-95.231489999999994</v>
      </c>
      <c r="L1574" s="17" t="str">
        <f>HYPERLINK("https://maps.google.com/?q=16.336839,-95.23149", "🔗 Ver Mapa")</f>
        <v>🔗 Ver Mapa</v>
      </c>
    </row>
    <row r="1575" spans="1:12" ht="72.5" x14ac:dyDescent="0.35">
      <c r="A1575" s="5" t="s">
        <v>7</v>
      </c>
      <c r="B1575" s="5" t="s">
        <v>20</v>
      </c>
      <c r="C1575" s="5" t="s">
        <v>1233</v>
      </c>
      <c r="D1575" s="8" t="s">
        <v>67</v>
      </c>
      <c r="E1575" s="16" t="s">
        <v>77</v>
      </c>
      <c r="F1575" s="16" t="s">
        <v>201</v>
      </c>
      <c r="G1575" s="8" t="s">
        <v>652</v>
      </c>
      <c r="H1575" s="8" t="s">
        <v>1035</v>
      </c>
      <c r="I1575" s="16" t="s">
        <v>138</v>
      </c>
      <c r="J1575" s="16">
        <v>16.336856000000001</v>
      </c>
      <c r="K1575" s="16">
        <v>-95.231975000000006</v>
      </c>
      <c r="L1575" s="16" t="str">
        <f>HYPERLINK("https://maps.google.com/?q=16.336856,-95.231975", "🔗 Ver Mapa")</f>
        <v>🔗 Ver Mapa</v>
      </c>
    </row>
    <row r="1576" spans="1:12" ht="72.5" x14ac:dyDescent="0.35">
      <c r="A1576" s="6" t="s">
        <v>7</v>
      </c>
      <c r="B1576" s="6" t="s">
        <v>20</v>
      </c>
      <c r="C1576" s="6" t="s">
        <v>1233</v>
      </c>
      <c r="D1576" s="11" t="s">
        <v>67</v>
      </c>
      <c r="E1576" s="17" t="s">
        <v>77</v>
      </c>
      <c r="F1576" s="17" t="s">
        <v>201</v>
      </c>
      <c r="G1576" s="11" t="s">
        <v>652</v>
      </c>
      <c r="H1576" s="11" t="s">
        <v>1035</v>
      </c>
      <c r="I1576" s="17" t="s">
        <v>138</v>
      </c>
      <c r="J1576" s="17">
        <v>16.336929000000001</v>
      </c>
      <c r="K1576" s="17">
        <v>-95.230501000000004</v>
      </c>
      <c r="L1576" s="17" t="str">
        <f>HYPERLINK("https://maps.google.com/?q=16.336929,-95.230501", "🔗 Ver Mapa")</f>
        <v>🔗 Ver Mapa</v>
      </c>
    </row>
    <row r="1577" spans="1:12" ht="72.5" x14ac:dyDescent="0.35">
      <c r="A1577" s="5" t="s">
        <v>7</v>
      </c>
      <c r="B1577" s="5" t="s">
        <v>20</v>
      </c>
      <c r="C1577" s="5" t="s">
        <v>1233</v>
      </c>
      <c r="D1577" s="8" t="s">
        <v>67</v>
      </c>
      <c r="E1577" s="16" t="s">
        <v>77</v>
      </c>
      <c r="F1577" s="16" t="s">
        <v>201</v>
      </c>
      <c r="G1577" s="8" t="s">
        <v>652</v>
      </c>
      <c r="H1577" s="8" t="s">
        <v>1035</v>
      </c>
      <c r="I1577" s="16" t="s">
        <v>138</v>
      </c>
      <c r="J1577" s="16">
        <v>16.337453</v>
      </c>
      <c r="K1577" s="16">
        <v>-95.226654999999994</v>
      </c>
      <c r="L1577" s="16" t="str">
        <f>HYPERLINK("https://maps.google.com/?q=16.337453,-95.226655", "🔗 Ver Mapa")</f>
        <v>🔗 Ver Mapa</v>
      </c>
    </row>
    <row r="1578" spans="1:12" ht="58" x14ac:dyDescent="0.35">
      <c r="A1578" s="6" t="s">
        <v>1</v>
      </c>
      <c r="B1578" s="6" t="s">
        <v>14</v>
      </c>
      <c r="C1578" s="6" t="s">
        <v>1234</v>
      </c>
      <c r="D1578" s="11" t="s">
        <v>61</v>
      </c>
      <c r="E1578" s="17" t="s">
        <v>79</v>
      </c>
      <c r="F1578" s="17" t="s">
        <v>390</v>
      </c>
      <c r="G1578" s="11" t="s">
        <v>796</v>
      </c>
      <c r="H1578" s="11" t="s">
        <v>1235</v>
      </c>
      <c r="I1578" s="17" t="s">
        <v>138</v>
      </c>
      <c r="J1578" s="17">
        <v>17.094371375938</v>
      </c>
      <c r="K1578" s="17">
        <v>-98.067271668686999</v>
      </c>
      <c r="L1578" s="17" t="str">
        <f>HYPERLINK("https://maps.google.com/?q=17.094371375938,-98.067271668687", "🔗 Ver Mapa")</f>
        <v>🔗 Ver Mapa</v>
      </c>
    </row>
    <row r="1579" spans="1:12" ht="29" x14ac:dyDescent="0.35">
      <c r="A1579" s="5" t="s">
        <v>1185</v>
      </c>
      <c r="B1579" s="5" t="s">
        <v>1186</v>
      </c>
      <c r="C1579" s="5" t="s">
        <v>1236</v>
      </c>
      <c r="D1579" s="8" t="s">
        <v>65</v>
      </c>
      <c r="E1579" s="16" t="s">
        <v>75</v>
      </c>
      <c r="F1579" s="16" t="s">
        <v>86</v>
      </c>
      <c r="G1579" s="8" t="s">
        <v>103</v>
      </c>
      <c r="H1579" s="8" t="s">
        <v>125</v>
      </c>
      <c r="I1579" s="16" t="s">
        <v>138</v>
      </c>
      <c r="J1579" s="16">
        <v>17.061080931755999</v>
      </c>
      <c r="K1579" s="16">
        <v>-96.725508424501996</v>
      </c>
      <c r="L1579" s="16" t="str">
        <f>HYPERLINK("https://maps.google.com/?q=17.061080931756,-96.725508424502", "🔗 Ver Mapa")</f>
        <v>🔗 Ver Mapa</v>
      </c>
    </row>
    <row r="1580" spans="1:12" ht="43.5" x14ac:dyDescent="0.35">
      <c r="A1580" s="6" t="s">
        <v>7</v>
      </c>
      <c r="B1580" s="6" t="s">
        <v>20</v>
      </c>
      <c r="C1580" s="6" t="s">
        <v>1237</v>
      </c>
      <c r="D1580" s="11" t="s">
        <v>67</v>
      </c>
      <c r="E1580" s="17" t="s">
        <v>164</v>
      </c>
      <c r="F1580" s="17" t="s">
        <v>165</v>
      </c>
      <c r="G1580" s="11" t="s">
        <v>1238</v>
      </c>
      <c r="H1580" s="11" t="s">
        <v>1239</v>
      </c>
      <c r="I1580" s="17" t="s">
        <v>138</v>
      </c>
      <c r="J1580" s="17">
        <v>17.721368999999999</v>
      </c>
      <c r="K1580" s="17">
        <v>-96.845194000000006</v>
      </c>
      <c r="L1580" s="17" t="str">
        <f>HYPERLINK("https://maps.google.com/?q=17.721369,-96.845194", "🔗 Ver Mapa")</f>
        <v>🔗 Ver Mapa</v>
      </c>
    </row>
    <row r="1581" spans="1:12" ht="43.5" x14ac:dyDescent="0.35">
      <c r="A1581" s="5" t="s">
        <v>7</v>
      </c>
      <c r="B1581" s="5" t="s">
        <v>20</v>
      </c>
      <c r="C1581" s="5" t="s">
        <v>1237</v>
      </c>
      <c r="D1581" s="8" t="s">
        <v>67</v>
      </c>
      <c r="E1581" s="16" t="s">
        <v>164</v>
      </c>
      <c r="F1581" s="16" t="s">
        <v>165</v>
      </c>
      <c r="G1581" s="8" t="s">
        <v>1238</v>
      </c>
      <c r="H1581" s="8" t="s">
        <v>1239</v>
      </c>
      <c r="I1581" s="16" t="s">
        <v>138</v>
      </c>
      <c r="J1581" s="16">
        <v>17.722389692785999</v>
      </c>
      <c r="K1581" s="16">
        <v>-96.843729513878003</v>
      </c>
      <c r="L1581" s="16" t="str">
        <f>HYPERLINK("https://maps.google.com/?q=17.722389692786,-96.843729513878", "🔗 Ver Mapa")</f>
        <v>🔗 Ver Mapa</v>
      </c>
    </row>
    <row r="1582" spans="1:12" ht="43.5" x14ac:dyDescent="0.35">
      <c r="A1582" s="6" t="s">
        <v>7</v>
      </c>
      <c r="B1582" s="6" t="s">
        <v>20</v>
      </c>
      <c r="C1582" s="6" t="s">
        <v>1237</v>
      </c>
      <c r="D1582" s="11" t="s">
        <v>67</v>
      </c>
      <c r="E1582" s="17" t="s">
        <v>164</v>
      </c>
      <c r="F1582" s="17" t="s">
        <v>165</v>
      </c>
      <c r="G1582" s="11" t="s">
        <v>1238</v>
      </c>
      <c r="H1582" s="11" t="s">
        <v>1239</v>
      </c>
      <c r="I1582" s="17" t="s">
        <v>138</v>
      </c>
      <c r="J1582" s="17">
        <v>17.723217000000002</v>
      </c>
      <c r="K1582" s="17">
        <v>-96.842265999999995</v>
      </c>
      <c r="L1582" s="17" t="str">
        <f>HYPERLINK("https://maps.google.com/?q=17.723217,-96.842266", "🔗 Ver Mapa")</f>
        <v>🔗 Ver Mapa</v>
      </c>
    </row>
    <row r="1583" spans="1:12" ht="58" x14ac:dyDescent="0.35">
      <c r="A1583" s="5" t="s">
        <v>291</v>
      </c>
      <c r="B1583" s="5" t="s">
        <v>292</v>
      </c>
      <c r="C1583" s="5" t="s">
        <v>1240</v>
      </c>
      <c r="D1583" s="8" t="s">
        <v>294</v>
      </c>
      <c r="E1583" s="16" t="s">
        <v>75</v>
      </c>
      <c r="F1583" s="16" t="s">
        <v>86</v>
      </c>
      <c r="G1583" s="8" t="s">
        <v>557</v>
      </c>
      <c r="H1583" s="8" t="s">
        <v>558</v>
      </c>
      <c r="I1583" s="16" t="s">
        <v>296</v>
      </c>
      <c r="J1583" s="16">
        <v>17.058006529</v>
      </c>
      <c r="K1583" s="16">
        <v>-96.705520719999996</v>
      </c>
      <c r="L1583" s="16" t="str">
        <f>HYPERLINK("https://maps.google.com/?q=17.058006529,-96.70552072", "🔗 Ver Mapa")</f>
        <v>🔗 Ver Mapa</v>
      </c>
    </row>
    <row r="1584" spans="1:12" ht="58" x14ac:dyDescent="0.35">
      <c r="A1584" s="6" t="s">
        <v>291</v>
      </c>
      <c r="B1584" s="6" t="s">
        <v>292</v>
      </c>
      <c r="C1584" s="6" t="s">
        <v>1240</v>
      </c>
      <c r="D1584" s="11" t="s">
        <v>294</v>
      </c>
      <c r="E1584" s="17" t="s">
        <v>75</v>
      </c>
      <c r="F1584" s="17" t="s">
        <v>86</v>
      </c>
      <c r="G1584" s="11" t="s">
        <v>557</v>
      </c>
      <c r="H1584" s="11" t="s">
        <v>558</v>
      </c>
      <c r="I1584" s="17" t="s">
        <v>296</v>
      </c>
      <c r="J1584" s="17">
        <v>17.05864437</v>
      </c>
      <c r="K1584" s="17">
        <v>-96.705512780000007</v>
      </c>
      <c r="L1584" s="17" t="str">
        <f>HYPERLINK("https://maps.google.com/?q=17.05864437,-96.70551278", "🔗 Ver Mapa")</f>
        <v>🔗 Ver Mapa</v>
      </c>
    </row>
    <row r="1585" spans="1:12" ht="58" x14ac:dyDescent="0.35">
      <c r="A1585" s="5" t="s">
        <v>291</v>
      </c>
      <c r="B1585" s="5" t="s">
        <v>292</v>
      </c>
      <c r="C1585" s="5" t="s">
        <v>1240</v>
      </c>
      <c r="D1585" s="8" t="s">
        <v>294</v>
      </c>
      <c r="E1585" s="16" t="s">
        <v>75</v>
      </c>
      <c r="F1585" s="16" t="s">
        <v>86</v>
      </c>
      <c r="G1585" s="8" t="s">
        <v>557</v>
      </c>
      <c r="H1585" s="8" t="s">
        <v>558</v>
      </c>
      <c r="I1585" s="16" t="s">
        <v>296</v>
      </c>
      <c r="J1585" s="16">
        <v>17.059025800000001</v>
      </c>
      <c r="K1585" s="16">
        <v>-96.705507400000002</v>
      </c>
      <c r="L1585" s="16" t="str">
        <f>HYPERLINK("https://maps.google.com/?q=17.0590258,-96.7055074", "🔗 Ver Mapa")</f>
        <v>🔗 Ver Mapa</v>
      </c>
    </row>
    <row r="1586" spans="1:12" ht="58" x14ac:dyDescent="0.35">
      <c r="A1586" s="6" t="s">
        <v>291</v>
      </c>
      <c r="B1586" s="6" t="s">
        <v>292</v>
      </c>
      <c r="C1586" s="6" t="s">
        <v>1240</v>
      </c>
      <c r="D1586" s="11" t="s">
        <v>294</v>
      </c>
      <c r="E1586" s="17" t="s">
        <v>75</v>
      </c>
      <c r="F1586" s="17" t="s">
        <v>86</v>
      </c>
      <c r="G1586" s="11" t="s">
        <v>557</v>
      </c>
      <c r="H1586" s="11" t="s">
        <v>558</v>
      </c>
      <c r="I1586" s="17" t="s">
        <v>296</v>
      </c>
      <c r="J1586" s="17">
        <v>17.059028999999999</v>
      </c>
      <c r="K1586" s="17">
        <v>-96.705371900000003</v>
      </c>
      <c r="L1586" s="17" t="str">
        <f>HYPERLINK("https://maps.google.com/?q=17.059029,-96.7053719", "🔗 Ver Mapa")</f>
        <v>🔗 Ver Mapa</v>
      </c>
    </row>
    <row r="1587" spans="1:12" ht="58" x14ac:dyDescent="0.35">
      <c r="A1587" s="5" t="s">
        <v>291</v>
      </c>
      <c r="B1587" s="5" t="s">
        <v>292</v>
      </c>
      <c r="C1587" s="5" t="s">
        <v>1240</v>
      </c>
      <c r="D1587" s="8" t="s">
        <v>294</v>
      </c>
      <c r="E1587" s="16" t="s">
        <v>75</v>
      </c>
      <c r="F1587" s="16" t="s">
        <v>86</v>
      </c>
      <c r="G1587" s="8" t="s">
        <v>557</v>
      </c>
      <c r="H1587" s="8" t="s">
        <v>558</v>
      </c>
      <c r="I1587" s="16" t="s">
        <v>296</v>
      </c>
      <c r="J1587" s="16">
        <v>17.059046314</v>
      </c>
      <c r="K1587" s="16">
        <v>-96.705402100000001</v>
      </c>
      <c r="L1587" s="16" t="str">
        <f>HYPERLINK("https://maps.google.com/?q=17.059046314,-96.7054021", "🔗 Ver Mapa")</f>
        <v>🔗 Ver Mapa</v>
      </c>
    </row>
    <row r="1588" spans="1:12" ht="58" x14ac:dyDescent="0.35">
      <c r="A1588" s="6" t="s">
        <v>291</v>
      </c>
      <c r="B1588" s="6" t="s">
        <v>292</v>
      </c>
      <c r="C1588" s="6" t="s">
        <v>1240</v>
      </c>
      <c r="D1588" s="11" t="s">
        <v>294</v>
      </c>
      <c r="E1588" s="17" t="s">
        <v>75</v>
      </c>
      <c r="F1588" s="17" t="s">
        <v>86</v>
      </c>
      <c r="G1588" s="11" t="s">
        <v>557</v>
      </c>
      <c r="H1588" s="11" t="s">
        <v>558</v>
      </c>
      <c r="I1588" s="17" t="s">
        <v>296</v>
      </c>
      <c r="J1588" s="17">
        <v>17.059409789</v>
      </c>
      <c r="K1588" s="17">
        <v>-96.705384699999996</v>
      </c>
      <c r="L1588" s="17" t="str">
        <f>HYPERLINK("https://maps.google.com/?q=17.059409789,-96.7053847", "🔗 Ver Mapa")</f>
        <v>🔗 Ver Mapa</v>
      </c>
    </row>
    <row r="1589" spans="1:12" ht="58" x14ac:dyDescent="0.35">
      <c r="A1589" s="5" t="s">
        <v>291</v>
      </c>
      <c r="B1589" s="5" t="s">
        <v>292</v>
      </c>
      <c r="C1589" s="5" t="s">
        <v>1240</v>
      </c>
      <c r="D1589" s="8" t="s">
        <v>294</v>
      </c>
      <c r="E1589" s="16" t="s">
        <v>75</v>
      </c>
      <c r="F1589" s="16" t="s">
        <v>86</v>
      </c>
      <c r="G1589" s="8" t="s">
        <v>557</v>
      </c>
      <c r="H1589" s="8" t="s">
        <v>558</v>
      </c>
      <c r="I1589" s="16" t="s">
        <v>296</v>
      </c>
      <c r="J1589" s="16">
        <v>17.059503379999999</v>
      </c>
      <c r="K1589" s="16">
        <v>-96.705345820999995</v>
      </c>
      <c r="L1589" s="16" t="str">
        <f>HYPERLINK("https://maps.google.com/?q=17.05950338,-96.705345821", "🔗 Ver Mapa")</f>
        <v>🔗 Ver Mapa</v>
      </c>
    </row>
    <row r="1590" spans="1:12" ht="58" x14ac:dyDescent="0.35">
      <c r="A1590" s="6" t="s">
        <v>291</v>
      </c>
      <c r="B1590" s="6" t="s">
        <v>292</v>
      </c>
      <c r="C1590" s="6" t="s">
        <v>1240</v>
      </c>
      <c r="D1590" s="11" t="s">
        <v>294</v>
      </c>
      <c r="E1590" s="17" t="s">
        <v>75</v>
      </c>
      <c r="F1590" s="17" t="s">
        <v>86</v>
      </c>
      <c r="G1590" s="11" t="s">
        <v>557</v>
      </c>
      <c r="H1590" s="11" t="s">
        <v>558</v>
      </c>
      <c r="I1590" s="17" t="s">
        <v>296</v>
      </c>
      <c r="J1590" s="17">
        <v>17.059714286999998</v>
      </c>
      <c r="K1590" s="17">
        <v>-96.705363250000005</v>
      </c>
      <c r="L1590" s="17" t="str">
        <f>HYPERLINK("https://maps.google.com/?q=17.059714287,-96.70536325", "🔗 Ver Mapa")</f>
        <v>🔗 Ver Mapa</v>
      </c>
    </row>
    <row r="1591" spans="1:12" ht="58" x14ac:dyDescent="0.35">
      <c r="A1591" s="5" t="s">
        <v>291</v>
      </c>
      <c r="B1591" s="5" t="s">
        <v>292</v>
      </c>
      <c r="C1591" s="5" t="s">
        <v>1240</v>
      </c>
      <c r="D1591" s="8" t="s">
        <v>294</v>
      </c>
      <c r="E1591" s="16" t="s">
        <v>75</v>
      </c>
      <c r="F1591" s="16" t="s">
        <v>86</v>
      </c>
      <c r="G1591" s="8" t="s">
        <v>557</v>
      </c>
      <c r="H1591" s="8" t="s">
        <v>558</v>
      </c>
      <c r="I1591" s="16" t="s">
        <v>296</v>
      </c>
      <c r="J1591" s="16">
        <v>17.059770058800002</v>
      </c>
      <c r="K1591" s="16">
        <v>-96.705329000000006</v>
      </c>
      <c r="L1591" s="16" t="str">
        <f>HYPERLINK("https://maps.google.com/?q=17.0597700588,-96.705329", "🔗 Ver Mapa")</f>
        <v>🔗 Ver Mapa</v>
      </c>
    </row>
    <row r="1592" spans="1:12" ht="58" x14ac:dyDescent="0.35">
      <c r="A1592" s="6" t="s">
        <v>291</v>
      </c>
      <c r="B1592" s="6" t="s">
        <v>292</v>
      </c>
      <c r="C1592" s="6" t="s">
        <v>1240</v>
      </c>
      <c r="D1592" s="11" t="s">
        <v>294</v>
      </c>
      <c r="E1592" s="17" t="s">
        <v>75</v>
      </c>
      <c r="F1592" s="17" t="s">
        <v>86</v>
      </c>
      <c r="G1592" s="11" t="s">
        <v>557</v>
      </c>
      <c r="H1592" s="11" t="s">
        <v>558</v>
      </c>
      <c r="I1592" s="17" t="s">
        <v>296</v>
      </c>
      <c r="J1592" s="17">
        <v>17.060070068000002</v>
      </c>
      <c r="K1592" s="17">
        <v>-96.705333080000003</v>
      </c>
      <c r="L1592" s="17" t="str">
        <f>HYPERLINK("https://maps.google.com/?q=17.060070068,-96.70533308", "🔗 Ver Mapa")</f>
        <v>🔗 Ver Mapa</v>
      </c>
    </row>
    <row r="1593" spans="1:12" ht="58" x14ac:dyDescent="0.35">
      <c r="A1593" s="5" t="s">
        <v>291</v>
      </c>
      <c r="B1593" s="5" t="s">
        <v>292</v>
      </c>
      <c r="C1593" s="5" t="s">
        <v>1240</v>
      </c>
      <c r="D1593" s="8" t="s">
        <v>294</v>
      </c>
      <c r="E1593" s="16" t="s">
        <v>75</v>
      </c>
      <c r="F1593" s="16" t="s">
        <v>86</v>
      </c>
      <c r="G1593" s="8" t="s">
        <v>557</v>
      </c>
      <c r="H1593" s="8" t="s">
        <v>558</v>
      </c>
      <c r="I1593" s="16" t="s">
        <v>296</v>
      </c>
      <c r="J1593" s="16">
        <v>17.060118147000001</v>
      </c>
      <c r="K1593" s="16">
        <v>-96.705312289999995</v>
      </c>
      <c r="L1593" s="16" t="str">
        <f>HYPERLINK("https://maps.google.com/?q=17.060118147,-96.70531229", "🔗 Ver Mapa")</f>
        <v>🔗 Ver Mapa</v>
      </c>
    </row>
    <row r="1594" spans="1:12" ht="43.5" x14ac:dyDescent="0.35">
      <c r="A1594" s="6" t="s">
        <v>593</v>
      </c>
      <c r="B1594" s="6" t="s">
        <v>594</v>
      </c>
      <c r="C1594" s="6" t="s">
        <v>1241</v>
      </c>
      <c r="D1594" s="11" t="s">
        <v>62</v>
      </c>
      <c r="E1594" s="17" t="s">
        <v>75</v>
      </c>
      <c r="F1594" s="17" t="s">
        <v>86</v>
      </c>
      <c r="G1594" s="11" t="s">
        <v>557</v>
      </c>
      <c r="H1594" s="11" t="s">
        <v>558</v>
      </c>
      <c r="I1594" s="17" t="s">
        <v>138</v>
      </c>
      <c r="J1594" s="17">
        <v>17.065867999999998</v>
      </c>
      <c r="K1594" s="17">
        <v>-96.693758200000005</v>
      </c>
      <c r="L1594" s="17" t="str">
        <f>HYPERLINK("https://maps.google.com/?q=17.065868,-96.6937582", "🔗 Ver Mapa")</f>
        <v>🔗 Ver Mapa</v>
      </c>
    </row>
    <row r="1595" spans="1:12" ht="43.5" x14ac:dyDescent="0.35">
      <c r="A1595" s="5" t="s">
        <v>291</v>
      </c>
      <c r="B1595" s="5" t="s">
        <v>292</v>
      </c>
      <c r="C1595" s="5" t="s">
        <v>1242</v>
      </c>
      <c r="D1595" s="8" t="s">
        <v>294</v>
      </c>
      <c r="E1595" s="16" t="s">
        <v>75</v>
      </c>
      <c r="F1595" s="16" t="s">
        <v>86</v>
      </c>
      <c r="G1595" s="8" t="s">
        <v>807</v>
      </c>
      <c r="H1595" s="8" t="s">
        <v>808</v>
      </c>
      <c r="I1595" s="16" t="s">
        <v>296</v>
      </c>
      <c r="J1595" s="16">
        <v>17.024423299999999</v>
      </c>
      <c r="K1595" s="16">
        <v>-96.713189999999997</v>
      </c>
      <c r="L1595" s="16" t="str">
        <f>HYPERLINK("https://maps.google.com/?q=17.0244233,-96.71319", "🔗 Ver Mapa")</f>
        <v>🔗 Ver Mapa</v>
      </c>
    </row>
    <row r="1596" spans="1:12" ht="43.5" x14ac:dyDescent="0.35">
      <c r="A1596" s="6" t="s">
        <v>291</v>
      </c>
      <c r="B1596" s="6" t="s">
        <v>292</v>
      </c>
      <c r="C1596" s="6" t="s">
        <v>1242</v>
      </c>
      <c r="D1596" s="11" t="s">
        <v>294</v>
      </c>
      <c r="E1596" s="17" t="s">
        <v>75</v>
      </c>
      <c r="F1596" s="17" t="s">
        <v>86</v>
      </c>
      <c r="G1596" s="11" t="s">
        <v>807</v>
      </c>
      <c r="H1596" s="11" t="s">
        <v>808</v>
      </c>
      <c r="I1596" s="17" t="s">
        <v>296</v>
      </c>
      <c r="J1596" s="17">
        <v>17.02518632</v>
      </c>
      <c r="K1596" s="17">
        <v>-96.713123999999993</v>
      </c>
      <c r="L1596" s="17" t="str">
        <f>HYPERLINK("https://maps.google.com/?q=17.02518632,-96.713124", "🔗 Ver Mapa")</f>
        <v>🔗 Ver Mapa</v>
      </c>
    </row>
    <row r="1597" spans="1:12" ht="43.5" x14ac:dyDescent="0.35">
      <c r="A1597" s="5" t="s">
        <v>291</v>
      </c>
      <c r="B1597" s="5" t="s">
        <v>292</v>
      </c>
      <c r="C1597" s="5" t="s">
        <v>1242</v>
      </c>
      <c r="D1597" s="8" t="s">
        <v>294</v>
      </c>
      <c r="E1597" s="16" t="s">
        <v>75</v>
      </c>
      <c r="F1597" s="16" t="s">
        <v>86</v>
      </c>
      <c r="G1597" s="8" t="s">
        <v>807</v>
      </c>
      <c r="H1597" s="8" t="s">
        <v>808</v>
      </c>
      <c r="I1597" s="16" t="s">
        <v>296</v>
      </c>
      <c r="J1597" s="16">
        <v>17.025739000000002</v>
      </c>
      <c r="K1597" s="16">
        <v>-96.713014540000003</v>
      </c>
      <c r="L1597" s="16" t="str">
        <f>HYPERLINK("https://maps.google.com/?q=17.025739,-96.71301454", "🔗 Ver Mapa")</f>
        <v>🔗 Ver Mapa</v>
      </c>
    </row>
    <row r="1598" spans="1:12" ht="43.5" x14ac:dyDescent="0.35">
      <c r="A1598" s="6" t="s">
        <v>291</v>
      </c>
      <c r="B1598" s="6" t="s">
        <v>292</v>
      </c>
      <c r="C1598" s="6" t="s">
        <v>1242</v>
      </c>
      <c r="D1598" s="11" t="s">
        <v>294</v>
      </c>
      <c r="E1598" s="17" t="s">
        <v>75</v>
      </c>
      <c r="F1598" s="17" t="s">
        <v>86</v>
      </c>
      <c r="G1598" s="11" t="s">
        <v>807</v>
      </c>
      <c r="H1598" s="11" t="s">
        <v>808</v>
      </c>
      <c r="I1598" s="17" t="s">
        <v>296</v>
      </c>
      <c r="J1598" s="17">
        <v>17.026041599999999</v>
      </c>
      <c r="K1598" s="17">
        <v>-96.712958</v>
      </c>
      <c r="L1598" s="17" t="str">
        <f>HYPERLINK("https://maps.google.com/?q=17.0260416,-96.712958", "🔗 Ver Mapa")</f>
        <v>🔗 Ver Mapa</v>
      </c>
    </row>
    <row r="1599" spans="1:12" ht="43.5" x14ac:dyDescent="0.35">
      <c r="A1599" s="5" t="s">
        <v>291</v>
      </c>
      <c r="B1599" s="5" t="s">
        <v>292</v>
      </c>
      <c r="C1599" s="5" t="s">
        <v>1242</v>
      </c>
      <c r="D1599" s="8" t="s">
        <v>294</v>
      </c>
      <c r="E1599" s="16" t="s">
        <v>75</v>
      </c>
      <c r="F1599" s="16" t="s">
        <v>86</v>
      </c>
      <c r="G1599" s="8" t="s">
        <v>807</v>
      </c>
      <c r="H1599" s="8" t="s">
        <v>808</v>
      </c>
      <c r="I1599" s="16" t="s">
        <v>296</v>
      </c>
      <c r="J1599" s="16">
        <v>17.02649272</v>
      </c>
      <c r="K1599" s="16">
        <v>-96.712827899999994</v>
      </c>
      <c r="L1599" s="16" t="str">
        <f>HYPERLINK("https://maps.google.com/?q=17.02649272,-96.7128279", "🔗 Ver Mapa")</f>
        <v>🔗 Ver Mapa</v>
      </c>
    </row>
    <row r="1600" spans="1:12" ht="43.5" x14ac:dyDescent="0.35">
      <c r="A1600" s="6" t="s">
        <v>291</v>
      </c>
      <c r="B1600" s="6" t="s">
        <v>292</v>
      </c>
      <c r="C1600" s="6" t="s">
        <v>1242</v>
      </c>
      <c r="D1600" s="11" t="s">
        <v>294</v>
      </c>
      <c r="E1600" s="17" t="s">
        <v>75</v>
      </c>
      <c r="F1600" s="17" t="s">
        <v>86</v>
      </c>
      <c r="G1600" s="11" t="s">
        <v>807</v>
      </c>
      <c r="H1600" s="11" t="s">
        <v>808</v>
      </c>
      <c r="I1600" s="17" t="s">
        <v>296</v>
      </c>
      <c r="J1600" s="17">
        <v>17.026544000000001</v>
      </c>
      <c r="K1600" s="17">
        <v>-96.712752800000004</v>
      </c>
      <c r="L1600" s="17" t="str">
        <f>HYPERLINK("https://maps.google.com/?q=17.026544,-96.7127528", "🔗 Ver Mapa")</f>
        <v>🔗 Ver Mapa</v>
      </c>
    </row>
    <row r="1601" spans="1:12" ht="43.5" x14ac:dyDescent="0.35">
      <c r="A1601" s="5" t="s">
        <v>291</v>
      </c>
      <c r="B1601" s="5" t="s">
        <v>292</v>
      </c>
      <c r="C1601" s="5" t="s">
        <v>1242</v>
      </c>
      <c r="D1601" s="8" t="s">
        <v>294</v>
      </c>
      <c r="E1601" s="16" t="s">
        <v>75</v>
      </c>
      <c r="F1601" s="16" t="s">
        <v>86</v>
      </c>
      <c r="G1601" s="8" t="s">
        <v>807</v>
      </c>
      <c r="H1601" s="8" t="s">
        <v>808</v>
      </c>
      <c r="I1601" s="16" t="s">
        <v>296</v>
      </c>
      <c r="J1601" s="16">
        <v>17.026839649999999</v>
      </c>
      <c r="K1601" s="16">
        <v>-96.712378000000001</v>
      </c>
      <c r="L1601" s="16" t="str">
        <f>HYPERLINK("https://maps.google.com/?q=17.02683965,-96.712378", "🔗 Ver Mapa")</f>
        <v>🔗 Ver Mapa</v>
      </c>
    </row>
    <row r="1602" spans="1:12" ht="43.5" x14ac:dyDescent="0.35">
      <c r="A1602" s="6" t="s">
        <v>291</v>
      </c>
      <c r="B1602" s="6" t="s">
        <v>292</v>
      </c>
      <c r="C1602" s="6" t="s">
        <v>1242</v>
      </c>
      <c r="D1602" s="11" t="s">
        <v>294</v>
      </c>
      <c r="E1602" s="17" t="s">
        <v>75</v>
      </c>
      <c r="F1602" s="17" t="s">
        <v>86</v>
      </c>
      <c r="G1602" s="11" t="s">
        <v>807</v>
      </c>
      <c r="H1602" s="11" t="s">
        <v>808</v>
      </c>
      <c r="I1602" s="17" t="s">
        <v>296</v>
      </c>
      <c r="J1602" s="17">
        <v>17.0271027</v>
      </c>
      <c r="K1602" s="17">
        <v>-96.712021500000006</v>
      </c>
      <c r="L1602" s="17" t="str">
        <f>HYPERLINK("https://maps.google.com/?q=17.0271027,-96.7120215", "🔗 Ver Mapa")</f>
        <v>🔗 Ver Mapa</v>
      </c>
    </row>
    <row r="1603" spans="1:12" ht="43.5" x14ac:dyDescent="0.35">
      <c r="A1603" s="5" t="s">
        <v>291</v>
      </c>
      <c r="B1603" s="5" t="s">
        <v>292</v>
      </c>
      <c r="C1603" s="5" t="s">
        <v>1242</v>
      </c>
      <c r="D1603" s="8" t="s">
        <v>294</v>
      </c>
      <c r="E1603" s="16" t="s">
        <v>75</v>
      </c>
      <c r="F1603" s="16" t="s">
        <v>86</v>
      </c>
      <c r="G1603" s="8" t="s">
        <v>807</v>
      </c>
      <c r="H1603" s="8" t="s">
        <v>808</v>
      </c>
      <c r="I1603" s="16" t="s">
        <v>296</v>
      </c>
      <c r="J1603" s="16">
        <v>17.027203350000001</v>
      </c>
      <c r="K1603" s="16">
        <v>-96.711945020000002</v>
      </c>
      <c r="L1603" s="16" t="str">
        <f>HYPERLINK("https://maps.google.com/?q=17.02720335,-96.71194502", "🔗 Ver Mapa")</f>
        <v>🔗 Ver Mapa</v>
      </c>
    </row>
    <row r="1604" spans="1:12" ht="43.5" x14ac:dyDescent="0.35">
      <c r="A1604" s="6" t="s">
        <v>291</v>
      </c>
      <c r="B1604" s="6" t="s">
        <v>292</v>
      </c>
      <c r="C1604" s="6" t="s">
        <v>1242</v>
      </c>
      <c r="D1604" s="11" t="s">
        <v>294</v>
      </c>
      <c r="E1604" s="17" t="s">
        <v>75</v>
      </c>
      <c r="F1604" s="17" t="s">
        <v>86</v>
      </c>
      <c r="G1604" s="11" t="s">
        <v>807</v>
      </c>
      <c r="H1604" s="11" t="s">
        <v>808</v>
      </c>
      <c r="I1604" s="17" t="s">
        <v>296</v>
      </c>
      <c r="J1604" s="17">
        <v>17.027335999999998</v>
      </c>
      <c r="K1604" s="17">
        <v>-96.711841399999997</v>
      </c>
      <c r="L1604" s="17" t="str">
        <f>HYPERLINK("https://maps.google.com/?q=17.027336,-96.7118414", "🔗 Ver Mapa")</f>
        <v>🔗 Ver Mapa</v>
      </c>
    </row>
    <row r="1605" spans="1:12" ht="43.5" x14ac:dyDescent="0.35">
      <c r="A1605" s="5" t="s">
        <v>291</v>
      </c>
      <c r="B1605" s="5" t="s">
        <v>292</v>
      </c>
      <c r="C1605" s="5" t="s">
        <v>1242</v>
      </c>
      <c r="D1605" s="8" t="s">
        <v>294</v>
      </c>
      <c r="E1605" s="16" t="s">
        <v>75</v>
      </c>
      <c r="F1605" s="16" t="s">
        <v>86</v>
      </c>
      <c r="G1605" s="8" t="s">
        <v>807</v>
      </c>
      <c r="H1605" s="8" t="s">
        <v>808</v>
      </c>
      <c r="I1605" s="16" t="s">
        <v>296</v>
      </c>
      <c r="J1605" s="16">
        <v>17.027535</v>
      </c>
      <c r="K1605" s="16">
        <v>-96.711715999999996</v>
      </c>
      <c r="L1605" s="16" t="str">
        <f>HYPERLINK("https://maps.google.com/?q=17.027535,-96.711716", "🔗 Ver Mapa")</f>
        <v>🔗 Ver Mapa</v>
      </c>
    </row>
    <row r="1606" spans="1:12" ht="43.5" x14ac:dyDescent="0.35">
      <c r="A1606" s="6" t="s">
        <v>291</v>
      </c>
      <c r="B1606" s="6" t="s">
        <v>292</v>
      </c>
      <c r="C1606" s="6" t="s">
        <v>1242</v>
      </c>
      <c r="D1606" s="11" t="s">
        <v>294</v>
      </c>
      <c r="E1606" s="17" t="s">
        <v>75</v>
      </c>
      <c r="F1606" s="17" t="s">
        <v>86</v>
      </c>
      <c r="G1606" s="11" t="s">
        <v>807</v>
      </c>
      <c r="H1606" s="11" t="s">
        <v>808</v>
      </c>
      <c r="I1606" s="17" t="s">
        <v>296</v>
      </c>
      <c r="J1606" s="17">
        <v>17.027582500000001</v>
      </c>
      <c r="K1606" s="17">
        <v>-96.711748900000003</v>
      </c>
      <c r="L1606" s="17" t="str">
        <f>HYPERLINK("https://maps.google.com/?q=17.0275825,-96.7117489", "🔗 Ver Mapa")</f>
        <v>🔗 Ver Mapa</v>
      </c>
    </row>
    <row r="1607" spans="1:12" ht="43.5" x14ac:dyDescent="0.35">
      <c r="A1607" s="5" t="s">
        <v>291</v>
      </c>
      <c r="B1607" s="5" t="s">
        <v>292</v>
      </c>
      <c r="C1607" s="5" t="s">
        <v>1242</v>
      </c>
      <c r="D1607" s="8" t="s">
        <v>294</v>
      </c>
      <c r="E1607" s="16" t="s">
        <v>75</v>
      </c>
      <c r="F1607" s="16" t="s">
        <v>86</v>
      </c>
      <c r="G1607" s="8" t="s">
        <v>807</v>
      </c>
      <c r="H1607" s="8" t="s">
        <v>808</v>
      </c>
      <c r="I1607" s="16" t="s">
        <v>296</v>
      </c>
      <c r="J1607" s="16">
        <v>17.027817800000001</v>
      </c>
      <c r="K1607" s="16">
        <v>-96.711554000000007</v>
      </c>
      <c r="L1607" s="16" t="str">
        <f>HYPERLINK("https://maps.google.com/?q=17.0278178,-96.711554", "🔗 Ver Mapa")</f>
        <v>🔗 Ver Mapa</v>
      </c>
    </row>
    <row r="1608" spans="1:12" ht="43.5" x14ac:dyDescent="0.35">
      <c r="A1608" s="6" t="s">
        <v>291</v>
      </c>
      <c r="B1608" s="6" t="s">
        <v>292</v>
      </c>
      <c r="C1608" s="6" t="s">
        <v>1242</v>
      </c>
      <c r="D1608" s="11" t="s">
        <v>294</v>
      </c>
      <c r="E1608" s="17" t="s">
        <v>75</v>
      </c>
      <c r="F1608" s="17" t="s">
        <v>86</v>
      </c>
      <c r="G1608" s="11" t="s">
        <v>807</v>
      </c>
      <c r="H1608" s="11" t="s">
        <v>808</v>
      </c>
      <c r="I1608" s="17" t="s">
        <v>296</v>
      </c>
      <c r="J1608" s="17">
        <v>17.028201800000001</v>
      </c>
      <c r="K1608" s="17">
        <v>-96.711325000000002</v>
      </c>
      <c r="L1608" s="17" t="str">
        <f>HYPERLINK("https://maps.google.com/?q=17.0282018,-96.711325", "🔗 Ver Mapa")</f>
        <v>🔗 Ver Mapa</v>
      </c>
    </row>
    <row r="1609" spans="1:12" ht="43.5" x14ac:dyDescent="0.35">
      <c r="A1609" s="5" t="s">
        <v>291</v>
      </c>
      <c r="B1609" s="5" t="s">
        <v>292</v>
      </c>
      <c r="C1609" s="5" t="s">
        <v>1242</v>
      </c>
      <c r="D1609" s="8" t="s">
        <v>294</v>
      </c>
      <c r="E1609" s="16" t="s">
        <v>75</v>
      </c>
      <c r="F1609" s="16" t="s">
        <v>86</v>
      </c>
      <c r="G1609" s="8" t="s">
        <v>807</v>
      </c>
      <c r="H1609" s="8" t="s">
        <v>808</v>
      </c>
      <c r="I1609" s="16" t="s">
        <v>296</v>
      </c>
      <c r="J1609" s="16">
        <v>17.028309499999999</v>
      </c>
      <c r="K1609" s="16">
        <v>-96.711252000000002</v>
      </c>
      <c r="L1609" s="16" t="str">
        <f>HYPERLINK("https://maps.google.com/?q=17.0283095,-96.711252", "🔗 Ver Mapa")</f>
        <v>🔗 Ver Mapa</v>
      </c>
    </row>
    <row r="1610" spans="1:12" ht="43.5" x14ac:dyDescent="0.35">
      <c r="A1610" s="6" t="s">
        <v>291</v>
      </c>
      <c r="B1610" s="6" t="s">
        <v>292</v>
      </c>
      <c r="C1610" s="6" t="s">
        <v>1242</v>
      </c>
      <c r="D1610" s="11" t="s">
        <v>294</v>
      </c>
      <c r="E1610" s="17" t="s">
        <v>75</v>
      </c>
      <c r="F1610" s="17" t="s">
        <v>86</v>
      </c>
      <c r="G1610" s="11" t="s">
        <v>807</v>
      </c>
      <c r="H1610" s="11" t="s">
        <v>808</v>
      </c>
      <c r="I1610" s="17" t="s">
        <v>296</v>
      </c>
      <c r="J1610" s="17">
        <v>17.028424999999999</v>
      </c>
      <c r="K1610" s="17">
        <v>-96.711192999999994</v>
      </c>
      <c r="L1610" s="17" t="str">
        <f>HYPERLINK("https://maps.google.com/?q=17.028425,-96.711193", "🔗 Ver Mapa")</f>
        <v>🔗 Ver Mapa</v>
      </c>
    </row>
    <row r="1611" spans="1:12" ht="43.5" x14ac:dyDescent="0.35">
      <c r="A1611" s="5" t="s">
        <v>291</v>
      </c>
      <c r="B1611" s="5" t="s">
        <v>292</v>
      </c>
      <c r="C1611" s="5" t="s">
        <v>1242</v>
      </c>
      <c r="D1611" s="8" t="s">
        <v>294</v>
      </c>
      <c r="E1611" s="16" t="s">
        <v>75</v>
      </c>
      <c r="F1611" s="16" t="s">
        <v>86</v>
      </c>
      <c r="G1611" s="8" t="s">
        <v>807</v>
      </c>
      <c r="H1611" s="8" t="s">
        <v>808</v>
      </c>
      <c r="I1611" s="16" t="s">
        <v>296</v>
      </c>
      <c r="J1611" s="16">
        <v>17.028475490000002</v>
      </c>
      <c r="K1611" s="16">
        <v>-96.711191999999997</v>
      </c>
      <c r="L1611" s="16" t="str">
        <f>HYPERLINK("https://maps.google.com/?q=17.02847549,-96.711192", "🔗 Ver Mapa")</f>
        <v>🔗 Ver Mapa</v>
      </c>
    </row>
    <row r="1612" spans="1:12" ht="58" x14ac:dyDescent="0.35">
      <c r="A1612" s="6" t="s">
        <v>7</v>
      </c>
      <c r="B1612" s="6" t="s">
        <v>20</v>
      </c>
      <c r="C1612" s="6" t="s">
        <v>1243</v>
      </c>
      <c r="D1612" s="11" t="s">
        <v>67</v>
      </c>
      <c r="E1612" s="17" t="s">
        <v>75</v>
      </c>
      <c r="F1612" s="17" t="s">
        <v>86</v>
      </c>
      <c r="G1612" s="11" t="s">
        <v>103</v>
      </c>
      <c r="H1612" s="11" t="s">
        <v>125</v>
      </c>
      <c r="I1612" s="17" t="s">
        <v>138</v>
      </c>
      <c r="J1612" s="17">
        <v>17.096810000000001</v>
      </c>
      <c r="K1612" s="17">
        <v>-96.733525</v>
      </c>
      <c r="L1612" s="17" t="str">
        <f>HYPERLINK("https://maps.google.com/?q=17.09681,-96.733525", "🔗 Ver Mapa")</f>
        <v>🔗 Ver Mapa</v>
      </c>
    </row>
    <row r="1613" spans="1:12" ht="58" x14ac:dyDescent="0.35">
      <c r="A1613" s="5" t="s">
        <v>7</v>
      </c>
      <c r="B1613" s="5" t="s">
        <v>20</v>
      </c>
      <c r="C1613" s="5" t="s">
        <v>1244</v>
      </c>
      <c r="D1613" s="8" t="s">
        <v>235</v>
      </c>
      <c r="E1613" s="16" t="s">
        <v>75</v>
      </c>
      <c r="F1613" s="16" t="s">
        <v>86</v>
      </c>
      <c r="G1613" s="8" t="s">
        <v>103</v>
      </c>
      <c r="H1613" s="8" t="s">
        <v>125</v>
      </c>
      <c r="I1613" s="16" t="s">
        <v>138</v>
      </c>
      <c r="J1613" s="16">
        <v>17.066217999999999</v>
      </c>
      <c r="K1613" s="16">
        <v>-96.753491999999994</v>
      </c>
      <c r="L1613" s="16" t="str">
        <f>HYPERLINK("https://maps.google.com/?q=17.066218,-96.753492", "🔗 Ver Mapa")</f>
        <v>🔗 Ver Mapa</v>
      </c>
    </row>
    <row r="1614" spans="1:12" ht="58" x14ac:dyDescent="0.35">
      <c r="A1614" s="6" t="s">
        <v>5</v>
      </c>
      <c r="B1614" s="6" t="s">
        <v>18</v>
      </c>
      <c r="C1614" s="6" t="s">
        <v>1245</v>
      </c>
      <c r="D1614" s="11" t="s">
        <v>62</v>
      </c>
      <c r="E1614" s="17" t="s">
        <v>75</v>
      </c>
      <c r="F1614" s="17" t="s">
        <v>86</v>
      </c>
      <c r="G1614" s="11" t="s">
        <v>418</v>
      </c>
      <c r="H1614" s="11" t="s">
        <v>419</v>
      </c>
      <c r="I1614" s="17" t="s">
        <v>138</v>
      </c>
      <c r="J1614" s="17">
        <v>17.054827384980001</v>
      </c>
      <c r="K1614" s="17">
        <v>-96.654661800607997</v>
      </c>
      <c r="L1614" s="17" t="str">
        <f>HYPERLINK("https://maps.google.com/?q=17.05482738498,-96.654661800608", "🔗 Ver Mapa")</f>
        <v>🔗 Ver Mapa</v>
      </c>
    </row>
    <row r="1615" spans="1:12" ht="58" x14ac:dyDescent="0.35">
      <c r="A1615" s="5" t="s">
        <v>5</v>
      </c>
      <c r="B1615" s="5" t="s">
        <v>18</v>
      </c>
      <c r="C1615" s="5" t="s">
        <v>1246</v>
      </c>
      <c r="D1615" s="8" t="s">
        <v>62</v>
      </c>
      <c r="E1615" s="16" t="s">
        <v>75</v>
      </c>
      <c r="F1615" s="16" t="s">
        <v>86</v>
      </c>
      <c r="G1615" s="8" t="s">
        <v>418</v>
      </c>
      <c r="H1615" s="8" t="s">
        <v>419</v>
      </c>
      <c r="I1615" s="16" t="s">
        <v>138</v>
      </c>
      <c r="J1615" s="16">
        <v>17.054813225853</v>
      </c>
      <c r="K1615" s="16">
        <v>-96.654679095364003</v>
      </c>
      <c r="L1615" s="16" t="str">
        <f>HYPERLINK("https://maps.google.com/?q=17.054813225853,-96.654679095364", "🔗 Ver Mapa")</f>
        <v>🔗 Ver Mapa</v>
      </c>
    </row>
    <row r="1616" spans="1:12" ht="58" x14ac:dyDescent="0.35">
      <c r="A1616" s="6" t="s">
        <v>5</v>
      </c>
      <c r="B1616" s="6" t="s">
        <v>18</v>
      </c>
      <c r="C1616" s="6" t="s">
        <v>1247</v>
      </c>
      <c r="D1616" s="11" t="s">
        <v>65</v>
      </c>
      <c r="E1616" s="17" t="s">
        <v>75</v>
      </c>
      <c r="F1616" s="17" t="s">
        <v>86</v>
      </c>
      <c r="G1616" s="11" t="s">
        <v>418</v>
      </c>
      <c r="H1616" s="11" t="s">
        <v>419</v>
      </c>
      <c r="I1616" s="17" t="s">
        <v>138</v>
      </c>
      <c r="J1616" s="17">
        <v>17.054825141041</v>
      </c>
      <c r="K1616" s="17">
        <v>-96.654702518544994</v>
      </c>
      <c r="L1616" s="17" t="str">
        <f>HYPERLINK("https://maps.google.com/?q=17.054825141041,-96.654702518545", "🔗 Ver Mapa")</f>
        <v>🔗 Ver Mapa</v>
      </c>
    </row>
    <row r="1617" spans="1:12" ht="43.5" x14ac:dyDescent="0.35">
      <c r="A1617" s="5" t="s">
        <v>1248</v>
      </c>
      <c r="B1617" s="5" t="s">
        <v>1249</v>
      </c>
      <c r="C1617" s="5" t="s">
        <v>1250</v>
      </c>
      <c r="D1617" s="8" t="s">
        <v>1251</v>
      </c>
      <c r="E1617" s="16" t="s">
        <v>76</v>
      </c>
      <c r="F1617" s="16" t="s">
        <v>85</v>
      </c>
      <c r="G1617" s="8" t="s">
        <v>102</v>
      </c>
      <c r="H1617" s="8" t="s">
        <v>124</v>
      </c>
      <c r="I1617" s="16" t="s">
        <v>138</v>
      </c>
      <c r="J1617" s="16">
        <v>15.835982879601</v>
      </c>
      <c r="K1617" s="16">
        <v>-96.322140326501994</v>
      </c>
      <c r="L1617" s="16" t="str">
        <f>HYPERLINK("https://maps.google.com/?q=15.835982879601,-96.322140326502", "🔗 Ver Mapa")</f>
        <v>🔗 Ver Mapa</v>
      </c>
    </row>
    <row r="1618" spans="1:12" ht="43.5" x14ac:dyDescent="0.35">
      <c r="A1618" s="6" t="s">
        <v>1248</v>
      </c>
      <c r="B1618" s="6" t="s">
        <v>1249</v>
      </c>
      <c r="C1618" s="6" t="s">
        <v>1250</v>
      </c>
      <c r="D1618" s="11" t="s">
        <v>1251</v>
      </c>
      <c r="E1618" s="17" t="s">
        <v>76</v>
      </c>
      <c r="F1618" s="17" t="s">
        <v>85</v>
      </c>
      <c r="G1618" s="11" t="s">
        <v>102</v>
      </c>
      <c r="H1618" s="11" t="s">
        <v>124</v>
      </c>
      <c r="I1618" s="17" t="s">
        <v>138</v>
      </c>
      <c r="J1618" s="17">
        <v>17.129328000000001</v>
      </c>
      <c r="K1618" s="17">
        <v>-96.801868999999996</v>
      </c>
      <c r="L1618" s="17" t="str">
        <f>HYPERLINK("https://maps.google.com/?q=17.129328,-96.801869", "🔗 Ver Mapa")</f>
        <v>🔗 Ver Mapa</v>
      </c>
    </row>
    <row r="1619" spans="1:12" ht="43.5" x14ac:dyDescent="0.35">
      <c r="A1619" s="5" t="s">
        <v>1248</v>
      </c>
      <c r="B1619" s="5" t="s">
        <v>1249</v>
      </c>
      <c r="C1619" s="5" t="s">
        <v>1250</v>
      </c>
      <c r="D1619" s="8" t="s">
        <v>1251</v>
      </c>
      <c r="E1619" s="16" t="s">
        <v>76</v>
      </c>
      <c r="F1619" s="16" t="s">
        <v>85</v>
      </c>
      <c r="G1619" s="8" t="s">
        <v>102</v>
      </c>
      <c r="H1619" s="8" t="s">
        <v>124</v>
      </c>
      <c r="I1619" s="16" t="s">
        <v>138</v>
      </c>
      <c r="J1619" s="16">
        <v>17.331386999999999</v>
      </c>
      <c r="K1619" s="16">
        <v>-96.487875000000003</v>
      </c>
      <c r="L1619" s="16" t="str">
        <f>HYPERLINK("https://maps.google.com/?q=17.331387,-96.487875", "🔗 Ver Mapa")</f>
        <v>🔗 Ver Mapa</v>
      </c>
    </row>
    <row r="1620" spans="1:12" ht="29" x14ac:dyDescent="0.35">
      <c r="A1620" s="6" t="s">
        <v>569</v>
      </c>
      <c r="B1620" s="6" t="s">
        <v>570</v>
      </c>
      <c r="C1620" s="6" t="s">
        <v>1252</v>
      </c>
      <c r="D1620" s="11" t="s">
        <v>68</v>
      </c>
      <c r="E1620" s="17" t="s">
        <v>75</v>
      </c>
      <c r="F1620" s="17" t="s">
        <v>86</v>
      </c>
      <c r="G1620" s="11" t="s">
        <v>103</v>
      </c>
      <c r="H1620" s="11" t="s">
        <v>125</v>
      </c>
      <c r="I1620" s="17" t="s">
        <v>138</v>
      </c>
      <c r="J1620" s="17">
        <v>17.0685477</v>
      </c>
      <c r="K1620" s="17">
        <v>-96.720284000000007</v>
      </c>
      <c r="L1620" s="17" t="str">
        <f>HYPERLINK("https://maps.google.com/?q=17.0685477,-96.720284", "🔗 Ver Mapa")</f>
        <v>🔗 Ver Mapa</v>
      </c>
    </row>
    <row r="1621" spans="1:12" ht="72.5" x14ac:dyDescent="0.35">
      <c r="A1621" s="5" t="s">
        <v>225</v>
      </c>
      <c r="B1621" s="5" t="s">
        <v>226</v>
      </c>
      <c r="C1621" s="5" t="s">
        <v>1253</v>
      </c>
      <c r="D1621" s="8" t="s">
        <v>69</v>
      </c>
      <c r="E1621" s="16" t="s">
        <v>79</v>
      </c>
      <c r="F1621" s="16" t="s">
        <v>390</v>
      </c>
      <c r="G1621" s="8" t="s">
        <v>1145</v>
      </c>
      <c r="H1621" s="8" t="s">
        <v>1254</v>
      </c>
      <c r="I1621" s="16" t="s">
        <v>138</v>
      </c>
      <c r="J1621" s="16">
        <v>16.934694</v>
      </c>
      <c r="K1621" s="16">
        <v>-97.992671999999999</v>
      </c>
      <c r="L1621" s="16" t="str">
        <f>HYPERLINK("https://maps.google.com/?q=16.934694,-97.992672", "🔗 Ver Mapa")</f>
        <v>🔗 Ver Mapa</v>
      </c>
    </row>
    <row r="1622" spans="1:12" ht="72.5" x14ac:dyDescent="0.35">
      <c r="A1622" s="6" t="s">
        <v>225</v>
      </c>
      <c r="B1622" s="6" t="s">
        <v>226</v>
      </c>
      <c r="C1622" s="6" t="s">
        <v>1253</v>
      </c>
      <c r="D1622" s="11" t="s">
        <v>69</v>
      </c>
      <c r="E1622" s="17" t="s">
        <v>79</v>
      </c>
      <c r="F1622" s="17" t="s">
        <v>390</v>
      </c>
      <c r="G1622" s="11" t="s">
        <v>1145</v>
      </c>
      <c r="H1622" s="11" t="s">
        <v>1254</v>
      </c>
      <c r="I1622" s="17" t="s">
        <v>138</v>
      </c>
      <c r="J1622" s="17">
        <v>16.936258226576001</v>
      </c>
      <c r="K1622" s="17">
        <v>-97.995778926591996</v>
      </c>
      <c r="L1622" s="17" t="str">
        <f>HYPERLINK("https://maps.google.com/?q=16.936258226576,-97.995778926592", "🔗 Ver Mapa")</f>
        <v>🔗 Ver Mapa</v>
      </c>
    </row>
    <row r="1623" spans="1:12" ht="72.5" x14ac:dyDescent="0.35">
      <c r="A1623" s="5" t="s">
        <v>225</v>
      </c>
      <c r="B1623" s="5" t="s">
        <v>226</v>
      </c>
      <c r="C1623" s="5" t="s">
        <v>1253</v>
      </c>
      <c r="D1623" s="8" t="s">
        <v>69</v>
      </c>
      <c r="E1623" s="16" t="s">
        <v>79</v>
      </c>
      <c r="F1623" s="16" t="s">
        <v>390</v>
      </c>
      <c r="G1623" s="8" t="s">
        <v>1145</v>
      </c>
      <c r="H1623" s="8" t="s">
        <v>1254</v>
      </c>
      <c r="I1623" s="16" t="s">
        <v>138</v>
      </c>
      <c r="J1623" s="16">
        <v>16.937992000000001</v>
      </c>
      <c r="K1623" s="16">
        <v>-97.999469000000005</v>
      </c>
      <c r="L1623" s="16" t="str">
        <f>HYPERLINK("https://maps.google.com/?q=16.937992,-97.999469", "🔗 Ver Mapa")</f>
        <v>🔗 Ver Mapa</v>
      </c>
    </row>
    <row r="1624" spans="1:12" ht="72.5" x14ac:dyDescent="0.35">
      <c r="A1624" s="6" t="s">
        <v>225</v>
      </c>
      <c r="B1624" s="6" t="s">
        <v>226</v>
      </c>
      <c r="C1624" s="6" t="s">
        <v>1255</v>
      </c>
      <c r="D1624" s="11" t="s">
        <v>69</v>
      </c>
      <c r="E1624" s="17" t="s">
        <v>74</v>
      </c>
      <c r="F1624" s="17" t="s">
        <v>82</v>
      </c>
      <c r="G1624" s="11" t="s">
        <v>1256</v>
      </c>
      <c r="H1624" s="11" t="s">
        <v>1257</v>
      </c>
      <c r="I1624" s="17" t="s">
        <v>138</v>
      </c>
      <c r="J1624" s="17">
        <v>16.396348</v>
      </c>
      <c r="K1624" s="17">
        <v>-97.870301999999995</v>
      </c>
      <c r="L1624" s="17" t="str">
        <f>HYPERLINK("https://maps.google.com/?q=16.396348,-97.870302", "🔗 Ver Mapa")</f>
        <v>🔗 Ver Mapa</v>
      </c>
    </row>
    <row r="1625" spans="1:12" ht="72.5" x14ac:dyDescent="0.35">
      <c r="A1625" s="5" t="s">
        <v>225</v>
      </c>
      <c r="B1625" s="5" t="s">
        <v>226</v>
      </c>
      <c r="C1625" s="5" t="s">
        <v>1255</v>
      </c>
      <c r="D1625" s="8" t="s">
        <v>69</v>
      </c>
      <c r="E1625" s="16" t="s">
        <v>74</v>
      </c>
      <c r="F1625" s="16" t="s">
        <v>82</v>
      </c>
      <c r="G1625" s="8" t="s">
        <v>1256</v>
      </c>
      <c r="H1625" s="8" t="s">
        <v>1257</v>
      </c>
      <c r="I1625" s="16" t="s">
        <v>138</v>
      </c>
      <c r="J1625" s="16">
        <v>16.404576918343</v>
      </c>
      <c r="K1625" s="16">
        <v>-97.866668240764994</v>
      </c>
      <c r="L1625" s="16" t="str">
        <f>HYPERLINK("https://maps.google.com/?q=16.404576918343,-97.866668240765", "🔗 Ver Mapa")</f>
        <v>🔗 Ver Mapa</v>
      </c>
    </row>
    <row r="1626" spans="1:12" ht="72.5" x14ac:dyDescent="0.35">
      <c r="A1626" s="6" t="s">
        <v>225</v>
      </c>
      <c r="B1626" s="6" t="s">
        <v>226</v>
      </c>
      <c r="C1626" s="6" t="s">
        <v>1255</v>
      </c>
      <c r="D1626" s="11" t="s">
        <v>69</v>
      </c>
      <c r="E1626" s="17" t="s">
        <v>74</v>
      </c>
      <c r="F1626" s="17" t="s">
        <v>82</v>
      </c>
      <c r="G1626" s="11" t="s">
        <v>1256</v>
      </c>
      <c r="H1626" s="11" t="s">
        <v>1257</v>
      </c>
      <c r="I1626" s="17" t="s">
        <v>138</v>
      </c>
      <c r="J1626" s="17">
        <v>16.412068000000001</v>
      </c>
      <c r="K1626" s="17">
        <v>-97.867067000000006</v>
      </c>
      <c r="L1626" s="17" t="str">
        <f>HYPERLINK("https://maps.google.com/?q=16.412068,-97.867067", "🔗 Ver Mapa")</f>
        <v>🔗 Ver Mapa</v>
      </c>
    </row>
    <row r="1627" spans="1:12" ht="87" x14ac:dyDescent="0.35">
      <c r="A1627" s="5" t="s">
        <v>225</v>
      </c>
      <c r="B1627" s="5" t="s">
        <v>226</v>
      </c>
      <c r="C1627" s="5" t="s">
        <v>1258</v>
      </c>
      <c r="D1627" s="8" t="s">
        <v>69</v>
      </c>
      <c r="E1627" s="16" t="s">
        <v>74</v>
      </c>
      <c r="F1627" s="16" t="s">
        <v>453</v>
      </c>
      <c r="G1627" s="8" t="s">
        <v>1259</v>
      </c>
      <c r="H1627" s="8" t="s">
        <v>1260</v>
      </c>
      <c r="I1627" s="16" t="s">
        <v>138</v>
      </c>
      <c r="J1627" s="16">
        <v>16.090679999999999</v>
      </c>
      <c r="K1627" s="16">
        <v>-97.403346999999997</v>
      </c>
      <c r="L1627" s="16" t="str">
        <f>HYPERLINK("https://maps.google.com/?q=16.09068,-97.403347", "🔗 Ver Mapa")</f>
        <v>🔗 Ver Mapa</v>
      </c>
    </row>
    <row r="1628" spans="1:12" ht="87" x14ac:dyDescent="0.35">
      <c r="A1628" s="6" t="s">
        <v>225</v>
      </c>
      <c r="B1628" s="6" t="s">
        <v>226</v>
      </c>
      <c r="C1628" s="6" t="s">
        <v>1258</v>
      </c>
      <c r="D1628" s="11" t="s">
        <v>69</v>
      </c>
      <c r="E1628" s="17" t="s">
        <v>74</v>
      </c>
      <c r="F1628" s="17" t="s">
        <v>453</v>
      </c>
      <c r="G1628" s="11" t="s">
        <v>1259</v>
      </c>
      <c r="H1628" s="11" t="s">
        <v>1260</v>
      </c>
      <c r="I1628" s="17" t="s">
        <v>138</v>
      </c>
      <c r="J1628" s="17">
        <v>16.093288739942999</v>
      </c>
      <c r="K1628" s="17">
        <v>-97.406046001416996</v>
      </c>
      <c r="L1628" s="17" t="str">
        <f>HYPERLINK("https://maps.google.com/?q=16.093288739943,-97.406046001417", "🔗 Ver Mapa")</f>
        <v>🔗 Ver Mapa</v>
      </c>
    </row>
    <row r="1629" spans="1:12" ht="87" x14ac:dyDescent="0.35">
      <c r="A1629" s="5" t="s">
        <v>225</v>
      </c>
      <c r="B1629" s="5" t="s">
        <v>226</v>
      </c>
      <c r="C1629" s="5" t="s">
        <v>1258</v>
      </c>
      <c r="D1629" s="8" t="s">
        <v>69</v>
      </c>
      <c r="E1629" s="16" t="s">
        <v>74</v>
      </c>
      <c r="F1629" s="16" t="s">
        <v>453</v>
      </c>
      <c r="G1629" s="8" t="s">
        <v>1259</v>
      </c>
      <c r="H1629" s="8" t="s">
        <v>1260</v>
      </c>
      <c r="I1629" s="16" t="s">
        <v>138</v>
      </c>
      <c r="J1629" s="16">
        <v>16.096662999999999</v>
      </c>
      <c r="K1629" s="16">
        <v>-97.407771999999994</v>
      </c>
      <c r="L1629" s="16" t="str">
        <f>HYPERLINK("https://maps.google.com/?q=16.096663,-97.407772", "🔗 Ver Mapa")</f>
        <v>🔗 Ver Mapa</v>
      </c>
    </row>
    <row r="1630" spans="1:12" ht="72.5" x14ac:dyDescent="0.35">
      <c r="A1630" s="6" t="s">
        <v>225</v>
      </c>
      <c r="B1630" s="6" t="s">
        <v>226</v>
      </c>
      <c r="C1630" s="6" t="s">
        <v>1261</v>
      </c>
      <c r="D1630" s="11" t="s">
        <v>69</v>
      </c>
      <c r="E1630" s="17" t="s">
        <v>75</v>
      </c>
      <c r="F1630" s="17" t="s">
        <v>476</v>
      </c>
      <c r="G1630" s="11" t="s">
        <v>1262</v>
      </c>
      <c r="H1630" s="11" t="s">
        <v>1263</v>
      </c>
      <c r="I1630" s="17" t="s">
        <v>138</v>
      </c>
      <c r="J1630" s="17">
        <v>16.800011999999999</v>
      </c>
      <c r="K1630" s="17">
        <v>-97.067426999999995</v>
      </c>
      <c r="L1630" s="17" t="str">
        <f>HYPERLINK("https://maps.google.com/?q=16.800012,-97.067427", "🔗 Ver Mapa")</f>
        <v>🔗 Ver Mapa</v>
      </c>
    </row>
    <row r="1631" spans="1:12" ht="72.5" x14ac:dyDescent="0.35">
      <c r="A1631" s="5" t="s">
        <v>225</v>
      </c>
      <c r="B1631" s="5" t="s">
        <v>226</v>
      </c>
      <c r="C1631" s="5" t="s">
        <v>1261</v>
      </c>
      <c r="D1631" s="8" t="s">
        <v>69</v>
      </c>
      <c r="E1631" s="16" t="s">
        <v>75</v>
      </c>
      <c r="F1631" s="16" t="s">
        <v>476</v>
      </c>
      <c r="G1631" s="8" t="s">
        <v>1262</v>
      </c>
      <c r="H1631" s="8" t="s">
        <v>1263</v>
      </c>
      <c r="I1631" s="16" t="s">
        <v>138</v>
      </c>
      <c r="J1631" s="16">
        <v>16.801410908040001</v>
      </c>
      <c r="K1631" s="16">
        <v>-97.062955575054005</v>
      </c>
      <c r="L1631" s="16" t="str">
        <f>HYPERLINK("https://maps.google.com/?q=16.80141090804,-97.062955575054", "🔗 Ver Mapa")</f>
        <v>🔗 Ver Mapa</v>
      </c>
    </row>
    <row r="1632" spans="1:12" ht="72.5" x14ac:dyDescent="0.35">
      <c r="A1632" s="6" t="s">
        <v>225</v>
      </c>
      <c r="B1632" s="6" t="s">
        <v>226</v>
      </c>
      <c r="C1632" s="6" t="s">
        <v>1261</v>
      </c>
      <c r="D1632" s="11" t="s">
        <v>69</v>
      </c>
      <c r="E1632" s="17" t="s">
        <v>75</v>
      </c>
      <c r="F1632" s="17" t="s">
        <v>476</v>
      </c>
      <c r="G1632" s="11" t="s">
        <v>1262</v>
      </c>
      <c r="H1632" s="11" t="s">
        <v>1263</v>
      </c>
      <c r="I1632" s="17" t="s">
        <v>138</v>
      </c>
      <c r="J1632" s="17">
        <v>16.803535</v>
      </c>
      <c r="K1632" s="17">
        <v>-97.059048000000004</v>
      </c>
      <c r="L1632" s="17" t="str">
        <f>HYPERLINK("https://maps.google.com/?q=16.803535,-97.059048", "🔗 Ver Mapa")</f>
        <v>🔗 Ver Mapa</v>
      </c>
    </row>
    <row r="1633" spans="1:12" ht="72.5" x14ac:dyDescent="0.35">
      <c r="A1633" s="5" t="s">
        <v>225</v>
      </c>
      <c r="B1633" s="5" t="s">
        <v>226</v>
      </c>
      <c r="C1633" s="5" t="s">
        <v>1264</v>
      </c>
      <c r="D1633" s="8" t="s">
        <v>69</v>
      </c>
      <c r="E1633" s="16" t="s">
        <v>287</v>
      </c>
      <c r="F1633" s="16" t="s">
        <v>288</v>
      </c>
      <c r="G1633" s="8" t="s">
        <v>387</v>
      </c>
      <c r="H1633" s="8" t="s">
        <v>1265</v>
      </c>
      <c r="I1633" s="16" t="s">
        <v>138</v>
      </c>
      <c r="J1633" s="16">
        <v>17.770171000000001</v>
      </c>
      <c r="K1633" s="16">
        <v>-96.329151999999993</v>
      </c>
      <c r="L1633" s="16" t="str">
        <f>HYPERLINK("https://maps.google.com/?q=17.770171,-96.329152", "🔗 Ver Mapa")</f>
        <v>🔗 Ver Mapa</v>
      </c>
    </row>
    <row r="1634" spans="1:12" ht="72.5" x14ac:dyDescent="0.35">
      <c r="A1634" s="6" t="s">
        <v>225</v>
      </c>
      <c r="B1634" s="6" t="s">
        <v>226</v>
      </c>
      <c r="C1634" s="6" t="s">
        <v>1264</v>
      </c>
      <c r="D1634" s="11" t="s">
        <v>69</v>
      </c>
      <c r="E1634" s="17" t="s">
        <v>287</v>
      </c>
      <c r="F1634" s="17" t="s">
        <v>288</v>
      </c>
      <c r="G1634" s="11" t="s">
        <v>387</v>
      </c>
      <c r="H1634" s="11" t="s">
        <v>1265</v>
      </c>
      <c r="I1634" s="17" t="s">
        <v>138</v>
      </c>
      <c r="J1634" s="17">
        <v>17.770481</v>
      </c>
      <c r="K1634" s="17">
        <v>-96.336240000000004</v>
      </c>
      <c r="L1634" s="17" t="str">
        <f>HYPERLINK("https://maps.google.com/?q=17.770481,-96.33624", "🔗 Ver Mapa")</f>
        <v>🔗 Ver Mapa</v>
      </c>
    </row>
    <row r="1635" spans="1:12" ht="72.5" x14ac:dyDescent="0.35">
      <c r="A1635" s="5" t="s">
        <v>225</v>
      </c>
      <c r="B1635" s="5" t="s">
        <v>226</v>
      </c>
      <c r="C1635" s="5" t="s">
        <v>1264</v>
      </c>
      <c r="D1635" s="8" t="s">
        <v>69</v>
      </c>
      <c r="E1635" s="16" t="s">
        <v>287</v>
      </c>
      <c r="F1635" s="16" t="s">
        <v>288</v>
      </c>
      <c r="G1635" s="8" t="s">
        <v>387</v>
      </c>
      <c r="H1635" s="8" t="s">
        <v>1265</v>
      </c>
      <c r="I1635" s="16" t="s">
        <v>138</v>
      </c>
      <c r="J1635" s="16">
        <v>17.770877777469</v>
      </c>
      <c r="K1635" s="16">
        <v>-96.332448761278002</v>
      </c>
      <c r="L1635" s="16" t="str">
        <f>HYPERLINK("https://maps.google.com/?q=17.770877777469,-96.332448761278", "🔗 Ver Mapa")</f>
        <v>🔗 Ver Mapa</v>
      </c>
    </row>
    <row r="1636" spans="1:12" ht="72.5" x14ac:dyDescent="0.35">
      <c r="A1636" s="6" t="s">
        <v>225</v>
      </c>
      <c r="B1636" s="6" t="s">
        <v>226</v>
      </c>
      <c r="C1636" s="6" t="s">
        <v>1266</v>
      </c>
      <c r="D1636" s="11" t="s">
        <v>69</v>
      </c>
      <c r="E1636" s="17" t="s">
        <v>287</v>
      </c>
      <c r="F1636" s="17" t="s">
        <v>288</v>
      </c>
      <c r="G1636" s="11" t="s">
        <v>582</v>
      </c>
      <c r="H1636" s="11" t="s">
        <v>1267</v>
      </c>
      <c r="I1636" s="17" t="s">
        <v>138</v>
      </c>
      <c r="J1636" s="17">
        <v>18.394288</v>
      </c>
      <c r="K1636" s="17">
        <v>-96.497298000000001</v>
      </c>
      <c r="L1636" s="17" t="str">
        <f>HYPERLINK("https://maps.google.com/?q=18.394288,-96.497298", "🔗 Ver Mapa")</f>
        <v>🔗 Ver Mapa</v>
      </c>
    </row>
    <row r="1637" spans="1:12" ht="72.5" x14ac:dyDescent="0.35">
      <c r="A1637" s="5" t="s">
        <v>225</v>
      </c>
      <c r="B1637" s="5" t="s">
        <v>226</v>
      </c>
      <c r="C1637" s="5" t="s">
        <v>1266</v>
      </c>
      <c r="D1637" s="8" t="s">
        <v>69</v>
      </c>
      <c r="E1637" s="16" t="s">
        <v>287</v>
      </c>
      <c r="F1637" s="16" t="s">
        <v>288</v>
      </c>
      <c r="G1637" s="8" t="s">
        <v>582</v>
      </c>
      <c r="H1637" s="8" t="s">
        <v>1267</v>
      </c>
      <c r="I1637" s="16" t="s">
        <v>138</v>
      </c>
      <c r="J1637" s="16">
        <v>18.399056628659</v>
      </c>
      <c r="K1637" s="16">
        <v>-96.50416855876</v>
      </c>
      <c r="L1637" s="16" t="str">
        <f>HYPERLINK("https://maps.google.com/?q=18.399056628659,-96.50416855876", "🔗 Ver Mapa")</f>
        <v>🔗 Ver Mapa</v>
      </c>
    </row>
    <row r="1638" spans="1:12" ht="72.5" x14ac:dyDescent="0.35">
      <c r="A1638" s="6" t="s">
        <v>225</v>
      </c>
      <c r="B1638" s="6" t="s">
        <v>226</v>
      </c>
      <c r="C1638" s="6" t="s">
        <v>1266</v>
      </c>
      <c r="D1638" s="11" t="s">
        <v>69</v>
      </c>
      <c r="E1638" s="17" t="s">
        <v>287</v>
      </c>
      <c r="F1638" s="17" t="s">
        <v>288</v>
      </c>
      <c r="G1638" s="11" t="s">
        <v>582</v>
      </c>
      <c r="H1638" s="11" t="s">
        <v>1267</v>
      </c>
      <c r="I1638" s="17" t="s">
        <v>138</v>
      </c>
      <c r="J1638" s="17">
        <v>18.403652999999998</v>
      </c>
      <c r="K1638" s="17">
        <v>-96.511983999999998</v>
      </c>
      <c r="L1638" s="17" t="str">
        <f>HYPERLINK("https://maps.google.com/?q=18.403653,-96.511984", "🔗 Ver Mapa")</f>
        <v>🔗 Ver Mapa</v>
      </c>
    </row>
    <row r="1639" spans="1:12" ht="72.5" x14ac:dyDescent="0.35">
      <c r="A1639" s="5" t="s">
        <v>225</v>
      </c>
      <c r="B1639" s="5" t="s">
        <v>226</v>
      </c>
      <c r="C1639" s="5" t="s">
        <v>1268</v>
      </c>
      <c r="D1639" s="8" t="s">
        <v>69</v>
      </c>
      <c r="E1639" s="16" t="s">
        <v>287</v>
      </c>
      <c r="F1639" s="16" t="s">
        <v>288</v>
      </c>
      <c r="G1639" s="8" t="s">
        <v>669</v>
      </c>
      <c r="H1639" s="8" t="s">
        <v>1269</v>
      </c>
      <c r="I1639" s="16" t="s">
        <v>138</v>
      </c>
      <c r="J1639" s="16">
        <v>18.237283999999999</v>
      </c>
      <c r="K1639" s="16">
        <v>-96.280833000000001</v>
      </c>
      <c r="L1639" s="16" t="str">
        <f>HYPERLINK("https://maps.google.com/?q=18.237284,-96.280833", "🔗 Ver Mapa")</f>
        <v>🔗 Ver Mapa</v>
      </c>
    </row>
    <row r="1640" spans="1:12" ht="72.5" x14ac:dyDescent="0.35">
      <c r="A1640" s="6" t="s">
        <v>225</v>
      </c>
      <c r="B1640" s="6" t="s">
        <v>226</v>
      </c>
      <c r="C1640" s="6" t="s">
        <v>1268</v>
      </c>
      <c r="D1640" s="11" t="s">
        <v>69</v>
      </c>
      <c r="E1640" s="17" t="s">
        <v>287</v>
      </c>
      <c r="F1640" s="17" t="s">
        <v>288</v>
      </c>
      <c r="G1640" s="11" t="s">
        <v>669</v>
      </c>
      <c r="H1640" s="11" t="s">
        <v>1269</v>
      </c>
      <c r="I1640" s="17" t="s">
        <v>138</v>
      </c>
      <c r="J1640" s="17">
        <v>18.245269185794001</v>
      </c>
      <c r="K1640" s="17">
        <v>-96.283327563645003</v>
      </c>
      <c r="L1640" s="17" t="str">
        <f>HYPERLINK("https://maps.google.com/?q=18.245269185794,-96.283327563645", "🔗 Ver Mapa")</f>
        <v>🔗 Ver Mapa</v>
      </c>
    </row>
    <row r="1641" spans="1:12" ht="72.5" x14ac:dyDescent="0.35">
      <c r="A1641" s="5" t="s">
        <v>225</v>
      </c>
      <c r="B1641" s="5" t="s">
        <v>226</v>
      </c>
      <c r="C1641" s="5" t="s">
        <v>1268</v>
      </c>
      <c r="D1641" s="8" t="s">
        <v>69</v>
      </c>
      <c r="E1641" s="16" t="s">
        <v>287</v>
      </c>
      <c r="F1641" s="16" t="s">
        <v>288</v>
      </c>
      <c r="G1641" s="8" t="s">
        <v>669</v>
      </c>
      <c r="H1641" s="8" t="s">
        <v>1269</v>
      </c>
      <c r="I1641" s="16" t="s">
        <v>138</v>
      </c>
      <c r="J1641" s="16">
        <v>18.248349999999999</v>
      </c>
      <c r="K1641" s="16">
        <v>-96.290406000000004</v>
      </c>
      <c r="L1641" s="16" t="str">
        <f>HYPERLINK("https://maps.google.com/?q=18.24835,-96.290406", "🔗 Ver Mapa")</f>
        <v>🔗 Ver Mapa</v>
      </c>
    </row>
    <row r="1642" spans="1:12" ht="72.5" x14ac:dyDescent="0.35">
      <c r="A1642" s="6" t="s">
        <v>225</v>
      </c>
      <c r="B1642" s="6" t="s">
        <v>226</v>
      </c>
      <c r="C1642" s="6" t="s">
        <v>1270</v>
      </c>
      <c r="D1642" s="11" t="s">
        <v>69</v>
      </c>
      <c r="E1642" s="17" t="s">
        <v>287</v>
      </c>
      <c r="F1642" s="17" t="s">
        <v>288</v>
      </c>
      <c r="G1642" s="11" t="s">
        <v>669</v>
      </c>
      <c r="H1642" s="11" t="s">
        <v>1271</v>
      </c>
      <c r="I1642" s="17" t="s">
        <v>138</v>
      </c>
      <c r="J1642" s="17">
        <v>18.117008592784</v>
      </c>
      <c r="K1642" s="17">
        <v>-96.480674292862005</v>
      </c>
      <c r="L1642" s="17" t="str">
        <f>HYPERLINK("https://maps.google.com/?q=18.117008592784,-96.480674292862", "🔗 Ver Mapa")</f>
        <v>🔗 Ver Mapa</v>
      </c>
    </row>
    <row r="1643" spans="1:12" ht="72.5" x14ac:dyDescent="0.35">
      <c r="A1643" s="5" t="s">
        <v>225</v>
      </c>
      <c r="B1643" s="5" t="s">
        <v>226</v>
      </c>
      <c r="C1643" s="5" t="s">
        <v>1270</v>
      </c>
      <c r="D1643" s="8" t="s">
        <v>69</v>
      </c>
      <c r="E1643" s="16" t="s">
        <v>287</v>
      </c>
      <c r="F1643" s="16" t="s">
        <v>288</v>
      </c>
      <c r="G1643" s="8" t="s">
        <v>669</v>
      </c>
      <c r="H1643" s="8" t="s">
        <v>1271</v>
      </c>
      <c r="I1643" s="16" t="s">
        <v>138</v>
      </c>
      <c r="J1643" s="16">
        <v>18.118850580933</v>
      </c>
      <c r="K1643" s="16">
        <v>-96.489511703041003</v>
      </c>
      <c r="L1643" s="16" t="str">
        <f>HYPERLINK("https://maps.google.com/?q=18.118850580933,-96.489511703041", "🔗 Ver Mapa")</f>
        <v>🔗 Ver Mapa</v>
      </c>
    </row>
    <row r="1644" spans="1:12" ht="72.5" x14ac:dyDescent="0.35">
      <c r="A1644" s="6" t="s">
        <v>225</v>
      </c>
      <c r="B1644" s="6" t="s">
        <v>226</v>
      </c>
      <c r="C1644" s="6" t="s">
        <v>1270</v>
      </c>
      <c r="D1644" s="11" t="s">
        <v>69</v>
      </c>
      <c r="E1644" s="17" t="s">
        <v>287</v>
      </c>
      <c r="F1644" s="17" t="s">
        <v>288</v>
      </c>
      <c r="G1644" s="11" t="s">
        <v>669</v>
      </c>
      <c r="H1644" s="11" t="s">
        <v>1271</v>
      </c>
      <c r="I1644" s="17" t="s">
        <v>138</v>
      </c>
      <c r="J1644" s="17">
        <v>18.120723999999999</v>
      </c>
      <c r="K1644" s="17">
        <v>-96.474097999999998</v>
      </c>
      <c r="L1644" s="17" t="str">
        <f>HYPERLINK("https://maps.google.com/?q=18.120724,-96.474098", "🔗 Ver Mapa")</f>
        <v>🔗 Ver Mapa</v>
      </c>
    </row>
    <row r="1645" spans="1:12" ht="87" x14ac:dyDescent="0.35">
      <c r="A1645" s="5" t="s">
        <v>225</v>
      </c>
      <c r="B1645" s="5" t="s">
        <v>226</v>
      </c>
      <c r="C1645" s="5" t="s">
        <v>1272</v>
      </c>
      <c r="D1645" s="8" t="s">
        <v>69</v>
      </c>
      <c r="E1645" s="16" t="s">
        <v>75</v>
      </c>
      <c r="F1645" s="16" t="s">
        <v>149</v>
      </c>
      <c r="G1645" s="8" t="s">
        <v>1273</v>
      </c>
      <c r="H1645" s="8" t="s">
        <v>1274</v>
      </c>
      <c r="I1645" s="16" t="s">
        <v>138</v>
      </c>
      <c r="J1645" s="16">
        <v>16.736113</v>
      </c>
      <c r="K1645" s="16">
        <v>-96.658868999999996</v>
      </c>
      <c r="L1645" s="16" t="str">
        <f>HYPERLINK("https://maps.google.com/?q=16.736113,-96.658869", "🔗 Ver Mapa")</f>
        <v>🔗 Ver Mapa</v>
      </c>
    </row>
    <row r="1646" spans="1:12" ht="87" x14ac:dyDescent="0.35">
      <c r="A1646" s="6" t="s">
        <v>225</v>
      </c>
      <c r="B1646" s="6" t="s">
        <v>226</v>
      </c>
      <c r="C1646" s="6" t="s">
        <v>1272</v>
      </c>
      <c r="D1646" s="11" t="s">
        <v>69</v>
      </c>
      <c r="E1646" s="17" t="s">
        <v>75</v>
      </c>
      <c r="F1646" s="17" t="s">
        <v>149</v>
      </c>
      <c r="G1646" s="11" t="s">
        <v>1273</v>
      </c>
      <c r="H1646" s="11" t="s">
        <v>1274</v>
      </c>
      <c r="I1646" s="17" t="s">
        <v>138</v>
      </c>
      <c r="J1646" s="17">
        <v>16.739921860921001</v>
      </c>
      <c r="K1646" s="17">
        <v>-96.662919795256002</v>
      </c>
      <c r="L1646" s="17" t="str">
        <f>HYPERLINK("https://maps.google.com/?q=16.739921860921,-96.662919795256", "🔗 Ver Mapa")</f>
        <v>🔗 Ver Mapa</v>
      </c>
    </row>
    <row r="1647" spans="1:12" ht="87" x14ac:dyDescent="0.35">
      <c r="A1647" s="5" t="s">
        <v>225</v>
      </c>
      <c r="B1647" s="5" t="s">
        <v>226</v>
      </c>
      <c r="C1647" s="5" t="s">
        <v>1272</v>
      </c>
      <c r="D1647" s="8" t="s">
        <v>69</v>
      </c>
      <c r="E1647" s="16" t="s">
        <v>75</v>
      </c>
      <c r="F1647" s="16" t="s">
        <v>149</v>
      </c>
      <c r="G1647" s="8" t="s">
        <v>1273</v>
      </c>
      <c r="H1647" s="8" t="s">
        <v>1274</v>
      </c>
      <c r="I1647" s="16" t="s">
        <v>138</v>
      </c>
      <c r="J1647" s="16">
        <v>16.742407</v>
      </c>
      <c r="K1647" s="16">
        <v>-96.662620000000004</v>
      </c>
      <c r="L1647" s="16" t="str">
        <f>HYPERLINK("https://maps.google.com/?q=16.742407,-96.66262", "🔗 Ver Mapa")</f>
        <v>🔗 Ver Mapa</v>
      </c>
    </row>
    <row r="1648" spans="1:12" ht="72.5" x14ac:dyDescent="0.35">
      <c r="A1648" s="6" t="s">
        <v>225</v>
      </c>
      <c r="B1648" s="6" t="s">
        <v>226</v>
      </c>
      <c r="C1648" s="6" t="s">
        <v>1275</v>
      </c>
      <c r="D1648" s="11" t="s">
        <v>69</v>
      </c>
      <c r="E1648" s="17" t="s">
        <v>75</v>
      </c>
      <c r="F1648" s="17" t="s">
        <v>149</v>
      </c>
      <c r="G1648" s="11" t="s">
        <v>826</v>
      </c>
      <c r="H1648" s="11" t="s">
        <v>1276</v>
      </c>
      <c r="I1648" s="17" t="s">
        <v>138</v>
      </c>
      <c r="J1648" s="17">
        <v>16.743531999999998</v>
      </c>
      <c r="K1648" s="17">
        <v>-96.745063000000002</v>
      </c>
      <c r="L1648" s="17" t="str">
        <f>HYPERLINK("https://maps.google.com/?q=16.743532,-96.745063", "🔗 Ver Mapa")</f>
        <v>🔗 Ver Mapa</v>
      </c>
    </row>
    <row r="1649" spans="1:12" ht="72.5" x14ac:dyDescent="0.35">
      <c r="A1649" s="5" t="s">
        <v>225</v>
      </c>
      <c r="B1649" s="5" t="s">
        <v>226</v>
      </c>
      <c r="C1649" s="5" t="s">
        <v>1275</v>
      </c>
      <c r="D1649" s="8" t="s">
        <v>69</v>
      </c>
      <c r="E1649" s="16" t="s">
        <v>75</v>
      </c>
      <c r="F1649" s="16" t="s">
        <v>149</v>
      </c>
      <c r="G1649" s="8" t="s">
        <v>826</v>
      </c>
      <c r="H1649" s="8" t="s">
        <v>1276</v>
      </c>
      <c r="I1649" s="16" t="s">
        <v>138</v>
      </c>
      <c r="J1649" s="16">
        <v>16.745252096803998</v>
      </c>
      <c r="K1649" s="16">
        <v>-96.749895401342997</v>
      </c>
      <c r="L1649" s="16" t="str">
        <f>HYPERLINK("https://maps.google.com/?q=16.745252096804,-96.749895401343", "🔗 Ver Mapa")</f>
        <v>🔗 Ver Mapa</v>
      </c>
    </row>
    <row r="1650" spans="1:12" ht="72.5" x14ac:dyDescent="0.35">
      <c r="A1650" s="6" t="s">
        <v>225</v>
      </c>
      <c r="B1650" s="6" t="s">
        <v>226</v>
      </c>
      <c r="C1650" s="6" t="s">
        <v>1275</v>
      </c>
      <c r="D1650" s="11" t="s">
        <v>69</v>
      </c>
      <c r="E1650" s="17" t="s">
        <v>75</v>
      </c>
      <c r="F1650" s="17" t="s">
        <v>149</v>
      </c>
      <c r="G1650" s="11" t="s">
        <v>826</v>
      </c>
      <c r="H1650" s="11" t="s">
        <v>1276</v>
      </c>
      <c r="I1650" s="17" t="s">
        <v>138</v>
      </c>
      <c r="J1650" s="17">
        <v>16.747399999999999</v>
      </c>
      <c r="K1650" s="17">
        <v>-96.753744999999995</v>
      </c>
      <c r="L1650" s="17" t="str">
        <f>HYPERLINK("https://maps.google.com/?q=16.7474,-96.753745", "🔗 Ver Mapa")</f>
        <v>🔗 Ver Mapa</v>
      </c>
    </row>
    <row r="1651" spans="1:12" ht="72.5" x14ac:dyDescent="0.35">
      <c r="A1651" s="5" t="s">
        <v>225</v>
      </c>
      <c r="B1651" s="5" t="s">
        <v>226</v>
      </c>
      <c r="C1651" s="5" t="s">
        <v>1277</v>
      </c>
      <c r="D1651" s="8" t="s">
        <v>69</v>
      </c>
      <c r="E1651" s="16" t="s">
        <v>77</v>
      </c>
      <c r="F1651" s="16" t="s">
        <v>88</v>
      </c>
      <c r="G1651" s="8" t="s">
        <v>1278</v>
      </c>
      <c r="H1651" s="8" t="s">
        <v>1279</v>
      </c>
      <c r="I1651" s="16" t="s">
        <v>138</v>
      </c>
      <c r="J1651" s="16">
        <v>16.831474</v>
      </c>
      <c r="K1651" s="16">
        <v>-95.161265999999998</v>
      </c>
      <c r="L1651" s="16" t="str">
        <f>HYPERLINK("https://maps.google.com/?q=16.831474,-95.161266", "🔗 Ver Mapa")</f>
        <v>🔗 Ver Mapa</v>
      </c>
    </row>
    <row r="1652" spans="1:12" ht="72.5" x14ac:dyDescent="0.35">
      <c r="A1652" s="6" t="s">
        <v>225</v>
      </c>
      <c r="B1652" s="6" t="s">
        <v>226</v>
      </c>
      <c r="C1652" s="6" t="s">
        <v>1277</v>
      </c>
      <c r="D1652" s="11" t="s">
        <v>69</v>
      </c>
      <c r="E1652" s="17" t="s">
        <v>77</v>
      </c>
      <c r="F1652" s="17" t="s">
        <v>88</v>
      </c>
      <c r="G1652" s="11" t="s">
        <v>1278</v>
      </c>
      <c r="H1652" s="11" t="s">
        <v>1279</v>
      </c>
      <c r="I1652" s="17" t="s">
        <v>138</v>
      </c>
      <c r="J1652" s="17">
        <v>16.833987719357001</v>
      </c>
      <c r="K1652" s="17">
        <v>-95.169452790071006</v>
      </c>
      <c r="L1652" s="17" t="str">
        <f>HYPERLINK("https://maps.google.com/?q=16.833987719357,-95.169452790071", "🔗 Ver Mapa")</f>
        <v>🔗 Ver Mapa</v>
      </c>
    </row>
    <row r="1653" spans="1:12" ht="72.5" x14ac:dyDescent="0.35">
      <c r="A1653" s="5" t="s">
        <v>225</v>
      </c>
      <c r="B1653" s="5" t="s">
        <v>226</v>
      </c>
      <c r="C1653" s="5" t="s">
        <v>1277</v>
      </c>
      <c r="D1653" s="8" t="s">
        <v>69</v>
      </c>
      <c r="E1653" s="16" t="s">
        <v>77</v>
      </c>
      <c r="F1653" s="16" t="s">
        <v>88</v>
      </c>
      <c r="G1653" s="8" t="s">
        <v>1278</v>
      </c>
      <c r="H1653" s="8" t="s">
        <v>1279</v>
      </c>
      <c r="I1653" s="16" t="s">
        <v>138</v>
      </c>
      <c r="J1653" s="16">
        <v>16.834313999999999</v>
      </c>
      <c r="K1653" s="16">
        <v>-95.176803000000007</v>
      </c>
      <c r="L1653" s="16" t="str">
        <f>HYPERLINK("https://maps.google.com/?q=16.834314,-95.176803", "🔗 Ver Mapa")</f>
        <v>🔗 Ver Mapa</v>
      </c>
    </row>
    <row r="1654" spans="1:12" ht="87" x14ac:dyDescent="0.35">
      <c r="A1654" s="6" t="s">
        <v>225</v>
      </c>
      <c r="B1654" s="6" t="s">
        <v>226</v>
      </c>
      <c r="C1654" s="6" t="s">
        <v>1280</v>
      </c>
      <c r="D1654" s="11" t="s">
        <v>69</v>
      </c>
      <c r="E1654" s="17" t="s">
        <v>73</v>
      </c>
      <c r="F1654" s="17" t="s">
        <v>585</v>
      </c>
      <c r="G1654" s="11" t="s">
        <v>586</v>
      </c>
      <c r="H1654" s="11" t="s">
        <v>1281</v>
      </c>
      <c r="I1654" s="17" t="s">
        <v>138</v>
      </c>
      <c r="J1654" s="17">
        <v>17.257160895371001</v>
      </c>
      <c r="K1654" s="17">
        <v>-97.950529682208995</v>
      </c>
      <c r="L1654" s="17" t="str">
        <f>HYPERLINK("https://maps.google.com/?q=17.257160895371,-97.950529682209", "🔗 Ver Mapa")</f>
        <v>🔗 Ver Mapa</v>
      </c>
    </row>
    <row r="1655" spans="1:12" ht="87" x14ac:dyDescent="0.35">
      <c r="A1655" s="5" t="s">
        <v>225</v>
      </c>
      <c r="B1655" s="5" t="s">
        <v>226</v>
      </c>
      <c r="C1655" s="5" t="s">
        <v>1280</v>
      </c>
      <c r="D1655" s="8" t="s">
        <v>69</v>
      </c>
      <c r="E1655" s="16" t="s">
        <v>73</v>
      </c>
      <c r="F1655" s="16" t="s">
        <v>585</v>
      </c>
      <c r="G1655" s="8" t="s">
        <v>586</v>
      </c>
      <c r="H1655" s="8" t="s">
        <v>1281</v>
      </c>
      <c r="I1655" s="16" t="s">
        <v>138</v>
      </c>
      <c r="J1655" s="16">
        <v>17.269836611872002</v>
      </c>
      <c r="K1655" s="16">
        <v>-97.970397072552004</v>
      </c>
      <c r="L1655" s="16" t="str">
        <f>HYPERLINK("https://maps.google.com/?q=17.269836611872,-97.970397072552", "🔗 Ver Mapa")</f>
        <v>🔗 Ver Mapa</v>
      </c>
    </row>
    <row r="1656" spans="1:12" ht="87" x14ac:dyDescent="0.35">
      <c r="A1656" s="6" t="s">
        <v>225</v>
      </c>
      <c r="B1656" s="6" t="s">
        <v>226</v>
      </c>
      <c r="C1656" s="6" t="s">
        <v>1280</v>
      </c>
      <c r="D1656" s="11" t="s">
        <v>69</v>
      </c>
      <c r="E1656" s="17" t="s">
        <v>73</v>
      </c>
      <c r="F1656" s="17" t="s">
        <v>585</v>
      </c>
      <c r="G1656" s="11" t="s">
        <v>586</v>
      </c>
      <c r="H1656" s="11" t="s">
        <v>1281</v>
      </c>
      <c r="I1656" s="17" t="s">
        <v>138</v>
      </c>
      <c r="J1656" s="17">
        <v>17.286346999999999</v>
      </c>
      <c r="K1656" s="17">
        <v>-97.977061000000006</v>
      </c>
      <c r="L1656" s="17" t="str">
        <f>HYPERLINK("https://maps.google.com/?q=17.286347,-97.977061", "🔗 Ver Mapa")</f>
        <v>🔗 Ver Mapa</v>
      </c>
    </row>
    <row r="1657" spans="1:12" ht="87" x14ac:dyDescent="0.35">
      <c r="A1657" s="5" t="s">
        <v>225</v>
      </c>
      <c r="B1657" s="5" t="s">
        <v>226</v>
      </c>
      <c r="C1657" s="5" t="s">
        <v>1282</v>
      </c>
      <c r="D1657" s="8" t="s">
        <v>69</v>
      </c>
      <c r="E1657" s="16" t="s">
        <v>77</v>
      </c>
      <c r="F1657" s="16" t="s">
        <v>201</v>
      </c>
      <c r="G1657" s="8" t="s">
        <v>652</v>
      </c>
      <c r="H1657" s="8" t="s">
        <v>1283</v>
      </c>
      <c r="I1657" s="16" t="s">
        <v>138</v>
      </c>
      <c r="J1657" s="16">
        <v>16.843181000000001</v>
      </c>
      <c r="K1657" s="16">
        <v>-95.534407000000002</v>
      </c>
      <c r="L1657" s="16" t="str">
        <f>HYPERLINK("https://maps.google.com/?q=16.843181,-95.534407", "🔗 Ver Mapa")</f>
        <v>🔗 Ver Mapa</v>
      </c>
    </row>
    <row r="1658" spans="1:12" ht="87" x14ac:dyDescent="0.35">
      <c r="A1658" s="6" t="s">
        <v>225</v>
      </c>
      <c r="B1658" s="6" t="s">
        <v>226</v>
      </c>
      <c r="C1658" s="6" t="s">
        <v>1282</v>
      </c>
      <c r="D1658" s="11" t="s">
        <v>69</v>
      </c>
      <c r="E1658" s="17" t="s">
        <v>77</v>
      </c>
      <c r="F1658" s="17" t="s">
        <v>201</v>
      </c>
      <c r="G1658" s="11" t="s">
        <v>652</v>
      </c>
      <c r="H1658" s="11" t="s">
        <v>1283</v>
      </c>
      <c r="I1658" s="17" t="s">
        <v>138</v>
      </c>
      <c r="J1658" s="17">
        <v>16.848798856441</v>
      </c>
      <c r="K1658" s="17">
        <v>-95.531349839529994</v>
      </c>
      <c r="L1658" s="17" t="str">
        <f>HYPERLINK("https://maps.google.com/?q=16.848798856441,-95.53134983953", "🔗 Ver Mapa")</f>
        <v>🔗 Ver Mapa</v>
      </c>
    </row>
    <row r="1659" spans="1:12" ht="87" x14ac:dyDescent="0.35">
      <c r="A1659" s="5" t="s">
        <v>225</v>
      </c>
      <c r="B1659" s="5" t="s">
        <v>226</v>
      </c>
      <c r="C1659" s="5" t="s">
        <v>1282</v>
      </c>
      <c r="D1659" s="8" t="s">
        <v>69</v>
      </c>
      <c r="E1659" s="16" t="s">
        <v>77</v>
      </c>
      <c r="F1659" s="16" t="s">
        <v>201</v>
      </c>
      <c r="G1659" s="8" t="s">
        <v>652</v>
      </c>
      <c r="H1659" s="8" t="s">
        <v>1283</v>
      </c>
      <c r="I1659" s="16" t="s">
        <v>138</v>
      </c>
      <c r="J1659" s="16">
        <v>16.854213000000001</v>
      </c>
      <c r="K1659" s="16">
        <v>-95.529304999999994</v>
      </c>
      <c r="L1659" s="16" t="str">
        <f>HYPERLINK("https://maps.google.com/?q=16.854213,-95.529305", "🔗 Ver Mapa")</f>
        <v>🔗 Ver Mapa</v>
      </c>
    </row>
    <row r="1660" spans="1:12" ht="58" x14ac:dyDescent="0.35">
      <c r="A1660" s="6" t="s">
        <v>7</v>
      </c>
      <c r="B1660" s="6" t="s">
        <v>20</v>
      </c>
      <c r="C1660" s="6" t="s">
        <v>1284</v>
      </c>
      <c r="D1660" s="11" t="s">
        <v>235</v>
      </c>
      <c r="E1660" s="17" t="s">
        <v>75</v>
      </c>
      <c r="F1660" s="17" t="s">
        <v>86</v>
      </c>
      <c r="G1660" s="11" t="s">
        <v>103</v>
      </c>
      <c r="H1660" s="11" t="s">
        <v>125</v>
      </c>
      <c r="I1660" s="17" t="s">
        <v>138</v>
      </c>
      <c r="J1660" s="17">
        <v>17.099283</v>
      </c>
      <c r="K1660" s="17">
        <v>-96.703755999999998</v>
      </c>
      <c r="L1660" s="17" t="str">
        <f>HYPERLINK("https://maps.google.com/?q=17.099283,-96.703756", "🔗 Ver Mapa")</f>
        <v>🔗 Ver Mapa</v>
      </c>
    </row>
    <row r="1661" spans="1:12" ht="43.5" x14ac:dyDescent="0.35">
      <c r="A1661" s="5" t="s">
        <v>7</v>
      </c>
      <c r="B1661" s="5" t="s">
        <v>20</v>
      </c>
      <c r="C1661" s="5" t="s">
        <v>1285</v>
      </c>
      <c r="D1661" s="8" t="s">
        <v>67</v>
      </c>
      <c r="E1661" s="16" t="s">
        <v>79</v>
      </c>
      <c r="F1661" s="16" t="s">
        <v>91</v>
      </c>
      <c r="G1661" s="8" t="s">
        <v>110</v>
      </c>
      <c r="H1661" s="8" t="s">
        <v>589</v>
      </c>
      <c r="I1661" s="16" t="s">
        <v>138</v>
      </c>
      <c r="J1661" s="16">
        <v>16.514807999999999</v>
      </c>
      <c r="K1661" s="16">
        <v>-96.977729999999994</v>
      </c>
      <c r="L1661" s="16" t="str">
        <f>HYPERLINK("https://maps.google.com/?q=16.514808,-96.97773", "🔗 Ver Mapa")</f>
        <v>🔗 Ver Mapa</v>
      </c>
    </row>
    <row r="1662" spans="1:12" ht="43.5" x14ac:dyDescent="0.35">
      <c r="A1662" s="6" t="s">
        <v>7</v>
      </c>
      <c r="B1662" s="6" t="s">
        <v>20</v>
      </c>
      <c r="C1662" s="6" t="s">
        <v>1285</v>
      </c>
      <c r="D1662" s="11" t="s">
        <v>67</v>
      </c>
      <c r="E1662" s="17" t="s">
        <v>79</v>
      </c>
      <c r="F1662" s="17" t="s">
        <v>91</v>
      </c>
      <c r="G1662" s="11" t="s">
        <v>110</v>
      </c>
      <c r="H1662" s="11" t="s">
        <v>589</v>
      </c>
      <c r="I1662" s="17" t="s">
        <v>138</v>
      </c>
      <c r="J1662" s="17">
        <v>16.515052000000001</v>
      </c>
      <c r="K1662" s="17">
        <v>-96.977737000000005</v>
      </c>
      <c r="L1662" s="17" t="str">
        <f>HYPERLINK("https://maps.google.com/?q=16.515052,-96.977737", "🔗 Ver Mapa")</f>
        <v>🔗 Ver Mapa</v>
      </c>
    </row>
    <row r="1663" spans="1:12" ht="43.5" x14ac:dyDescent="0.35">
      <c r="A1663" s="5" t="s">
        <v>7</v>
      </c>
      <c r="B1663" s="5" t="s">
        <v>20</v>
      </c>
      <c r="C1663" s="5" t="s">
        <v>1285</v>
      </c>
      <c r="D1663" s="8" t="s">
        <v>67</v>
      </c>
      <c r="E1663" s="16" t="s">
        <v>79</v>
      </c>
      <c r="F1663" s="16" t="s">
        <v>91</v>
      </c>
      <c r="G1663" s="8" t="s">
        <v>110</v>
      </c>
      <c r="H1663" s="8" t="s">
        <v>589</v>
      </c>
      <c r="I1663" s="16" t="s">
        <v>138</v>
      </c>
      <c r="J1663" s="16">
        <v>16.515286</v>
      </c>
      <c r="K1663" s="16">
        <v>-96.977716000000001</v>
      </c>
      <c r="L1663" s="16" t="str">
        <f>HYPERLINK("https://maps.google.com/?q=16.515286,-96.977716", "🔗 Ver Mapa")</f>
        <v>🔗 Ver Mapa</v>
      </c>
    </row>
    <row r="1664" spans="1:12" ht="43.5" x14ac:dyDescent="0.35">
      <c r="A1664" s="6" t="s">
        <v>7</v>
      </c>
      <c r="B1664" s="6" t="s">
        <v>20</v>
      </c>
      <c r="C1664" s="6" t="s">
        <v>1285</v>
      </c>
      <c r="D1664" s="11" t="s">
        <v>67</v>
      </c>
      <c r="E1664" s="17" t="s">
        <v>79</v>
      </c>
      <c r="F1664" s="17" t="s">
        <v>91</v>
      </c>
      <c r="G1664" s="11" t="s">
        <v>110</v>
      </c>
      <c r="H1664" s="11" t="s">
        <v>589</v>
      </c>
      <c r="I1664" s="17" t="s">
        <v>138</v>
      </c>
      <c r="J1664" s="17">
        <v>16.515539</v>
      </c>
      <c r="K1664" s="17">
        <v>-96.977732000000003</v>
      </c>
      <c r="L1664" s="17" t="str">
        <f>HYPERLINK("https://maps.google.com/?q=16.515539,-96.977732", "🔗 Ver Mapa")</f>
        <v>🔗 Ver Mapa</v>
      </c>
    </row>
    <row r="1665" spans="1:12" ht="43.5" x14ac:dyDescent="0.35">
      <c r="A1665" s="5" t="s">
        <v>7</v>
      </c>
      <c r="B1665" s="5" t="s">
        <v>20</v>
      </c>
      <c r="C1665" s="5" t="s">
        <v>1285</v>
      </c>
      <c r="D1665" s="8" t="s">
        <v>67</v>
      </c>
      <c r="E1665" s="16" t="s">
        <v>79</v>
      </c>
      <c r="F1665" s="16" t="s">
        <v>91</v>
      </c>
      <c r="G1665" s="8" t="s">
        <v>110</v>
      </c>
      <c r="H1665" s="8" t="s">
        <v>589</v>
      </c>
      <c r="I1665" s="16" t="s">
        <v>138</v>
      </c>
      <c r="J1665" s="16">
        <v>16.515746</v>
      </c>
      <c r="K1665" s="16">
        <v>-96.977644999999995</v>
      </c>
      <c r="L1665" s="16" t="str">
        <f>HYPERLINK("https://maps.google.com/?q=16.515746,-96.977645", "🔗 Ver Mapa")</f>
        <v>🔗 Ver Mapa</v>
      </c>
    </row>
    <row r="1666" spans="1:12" ht="43.5" x14ac:dyDescent="0.35">
      <c r="A1666" s="6" t="s">
        <v>7</v>
      </c>
      <c r="B1666" s="6" t="s">
        <v>20</v>
      </c>
      <c r="C1666" s="6" t="s">
        <v>1285</v>
      </c>
      <c r="D1666" s="11" t="s">
        <v>67</v>
      </c>
      <c r="E1666" s="17" t="s">
        <v>79</v>
      </c>
      <c r="F1666" s="17" t="s">
        <v>91</v>
      </c>
      <c r="G1666" s="11" t="s">
        <v>110</v>
      </c>
      <c r="H1666" s="11" t="s">
        <v>589</v>
      </c>
      <c r="I1666" s="17" t="s">
        <v>138</v>
      </c>
      <c r="J1666" s="17">
        <v>16.515962999999999</v>
      </c>
      <c r="K1666" s="17">
        <v>-96.977587</v>
      </c>
      <c r="L1666" s="17" t="str">
        <f>HYPERLINK("https://maps.google.com/?q=16.515963,-96.977587", "🔗 Ver Mapa")</f>
        <v>🔗 Ver Mapa</v>
      </c>
    </row>
    <row r="1667" spans="1:12" ht="43.5" x14ac:dyDescent="0.35">
      <c r="A1667" s="5" t="s">
        <v>7</v>
      </c>
      <c r="B1667" s="5" t="s">
        <v>20</v>
      </c>
      <c r="C1667" s="5" t="s">
        <v>1285</v>
      </c>
      <c r="D1667" s="8" t="s">
        <v>67</v>
      </c>
      <c r="E1667" s="16" t="s">
        <v>79</v>
      </c>
      <c r="F1667" s="16" t="s">
        <v>91</v>
      </c>
      <c r="G1667" s="8" t="s">
        <v>110</v>
      </c>
      <c r="H1667" s="8" t="s">
        <v>589</v>
      </c>
      <c r="I1667" s="16" t="s">
        <v>138</v>
      </c>
      <c r="J1667" s="16">
        <v>16.516188</v>
      </c>
      <c r="K1667" s="16">
        <v>-96.977519000000001</v>
      </c>
      <c r="L1667" s="16" t="str">
        <f>HYPERLINK("https://maps.google.com/?q=16.516188,-96.977519", "🔗 Ver Mapa")</f>
        <v>🔗 Ver Mapa</v>
      </c>
    </row>
    <row r="1668" spans="1:12" ht="43.5" x14ac:dyDescent="0.35">
      <c r="A1668" s="6" t="s">
        <v>7</v>
      </c>
      <c r="B1668" s="6" t="s">
        <v>20</v>
      </c>
      <c r="C1668" s="6" t="s">
        <v>1285</v>
      </c>
      <c r="D1668" s="11" t="s">
        <v>67</v>
      </c>
      <c r="E1668" s="17" t="s">
        <v>79</v>
      </c>
      <c r="F1668" s="17" t="s">
        <v>91</v>
      </c>
      <c r="G1668" s="11" t="s">
        <v>110</v>
      </c>
      <c r="H1668" s="11" t="s">
        <v>589</v>
      </c>
      <c r="I1668" s="17" t="s">
        <v>138</v>
      </c>
      <c r="J1668" s="17">
        <v>16.516386000000001</v>
      </c>
      <c r="K1668" s="17">
        <v>-96.977431999999993</v>
      </c>
      <c r="L1668" s="17" t="str">
        <f>HYPERLINK("https://maps.google.com/?q=16.516386,-96.977432", "🔗 Ver Mapa")</f>
        <v>🔗 Ver Mapa</v>
      </c>
    </row>
    <row r="1669" spans="1:12" ht="43.5" x14ac:dyDescent="0.35">
      <c r="A1669" s="5" t="s">
        <v>7</v>
      </c>
      <c r="B1669" s="5" t="s">
        <v>20</v>
      </c>
      <c r="C1669" s="5" t="s">
        <v>1285</v>
      </c>
      <c r="D1669" s="8" t="s">
        <v>67</v>
      </c>
      <c r="E1669" s="16" t="s">
        <v>79</v>
      </c>
      <c r="F1669" s="16" t="s">
        <v>91</v>
      </c>
      <c r="G1669" s="8" t="s">
        <v>110</v>
      </c>
      <c r="H1669" s="8" t="s">
        <v>589</v>
      </c>
      <c r="I1669" s="16" t="s">
        <v>138</v>
      </c>
      <c r="J1669" s="16">
        <v>16.516611000000001</v>
      </c>
      <c r="K1669" s="16">
        <v>-96.977393000000006</v>
      </c>
      <c r="L1669" s="16" t="str">
        <f>HYPERLINK("https://maps.google.com/?q=16.516611,-96.977393", "🔗 Ver Mapa")</f>
        <v>🔗 Ver Mapa</v>
      </c>
    </row>
    <row r="1670" spans="1:12" ht="43.5" x14ac:dyDescent="0.35">
      <c r="A1670" s="6" t="s">
        <v>7</v>
      </c>
      <c r="B1670" s="6" t="s">
        <v>20</v>
      </c>
      <c r="C1670" s="6" t="s">
        <v>1285</v>
      </c>
      <c r="D1670" s="11" t="s">
        <v>67</v>
      </c>
      <c r="E1670" s="17" t="s">
        <v>79</v>
      </c>
      <c r="F1670" s="17" t="s">
        <v>91</v>
      </c>
      <c r="G1670" s="11" t="s">
        <v>110</v>
      </c>
      <c r="H1670" s="11" t="s">
        <v>589</v>
      </c>
      <c r="I1670" s="17" t="s">
        <v>138</v>
      </c>
      <c r="J1670" s="17">
        <v>16.516836999999999</v>
      </c>
      <c r="K1670" s="17">
        <v>-96.977333999999999</v>
      </c>
      <c r="L1670" s="17" t="str">
        <f>HYPERLINK("https://maps.google.com/?q=16.516837,-96.977334", "🔗 Ver Mapa")</f>
        <v>🔗 Ver Mapa</v>
      </c>
    </row>
    <row r="1671" spans="1:12" ht="43.5" x14ac:dyDescent="0.35">
      <c r="A1671" s="5" t="s">
        <v>7</v>
      </c>
      <c r="B1671" s="5" t="s">
        <v>20</v>
      </c>
      <c r="C1671" s="5" t="s">
        <v>1285</v>
      </c>
      <c r="D1671" s="8" t="s">
        <v>67</v>
      </c>
      <c r="E1671" s="16" t="s">
        <v>79</v>
      </c>
      <c r="F1671" s="16" t="s">
        <v>91</v>
      </c>
      <c r="G1671" s="8" t="s">
        <v>110</v>
      </c>
      <c r="H1671" s="8" t="s">
        <v>589</v>
      </c>
      <c r="I1671" s="16" t="s">
        <v>138</v>
      </c>
      <c r="J1671" s="16">
        <v>16.517053000000001</v>
      </c>
      <c r="K1671" s="16">
        <v>-96.977266</v>
      </c>
      <c r="L1671" s="16" t="str">
        <f>HYPERLINK("https://maps.google.com/?q=16.517053,-96.977266", "🔗 Ver Mapa")</f>
        <v>🔗 Ver Mapa</v>
      </c>
    </row>
    <row r="1672" spans="1:12" ht="43.5" x14ac:dyDescent="0.35">
      <c r="A1672" s="6" t="s">
        <v>7</v>
      </c>
      <c r="B1672" s="6" t="s">
        <v>20</v>
      </c>
      <c r="C1672" s="6" t="s">
        <v>1285</v>
      </c>
      <c r="D1672" s="11" t="s">
        <v>67</v>
      </c>
      <c r="E1672" s="17" t="s">
        <v>79</v>
      </c>
      <c r="F1672" s="17" t="s">
        <v>91</v>
      </c>
      <c r="G1672" s="11" t="s">
        <v>110</v>
      </c>
      <c r="H1672" s="11" t="s">
        <v>589</v>
      </c>
      <c r="I1672" s="17" t="s">
        <v>138</v>
      </c>
      <c r="J1672" s="17">
        <v>16.517278000000001</v>
      </c>
      <c r="K1672" s="17">
        <v>-96.977216999999996</v>
      </c>
      <c r="L1672" s="17" t="str">
        <f>HYPERLINK("https://maps.google.com/?q=16.517278,-96.977217", "🔗 Ver Mapa")</f>
        <v>🔗 Ver Mapa</v>
      </c>
    </row>
    <row r="1673" spans="1:12" ht="43.5" x14ac:dyDescent="0.35">
      <c r="A1673" s="5" t="s">
        <v>7</v>
      </c>
      <c r="B1673" s="5" t="s">
        <v>20</v>
      </c>
      <c r="C1673" s="5" t="s">
        <v>1285</v>
      </c>
      <c r="D1673" s="8" t="s">
        <v>67</v>
      </c>
      <c r="E1673" s="16" t="s">
        <v>79</v>
      </c>
      <c r="F1673" s="16" t="s">
        <v>91</v>
      </c>
      <c r="G1673" s="8" t="s">
        <v>110</v>
      </c>
      <c r="H1673" s="8" t="s">
        <v>589</v>
      </c>
      <c r="I1673" s="16" t="s">
        <v>138</v>
      </c>
      <c r="J1673" s="16">
        <v>16.517475999999998</v>
      </c>
      <c r="K1673" s="16">
        <v>-96.977149999999995</v>
      </c>
      <c r="L1673" s="16" t="str">
        <f>HYPERLINK("https://maps.google.com/?q=16.517476,-96.97715", "🔗 Ver Mapa")</f>
        <v>🔗 Ver Mapa</v>
      </c>
    </row>
    <row r="1674" spans="1:12" ht="43.5" x14ac:dyDescent="0.35">
      <c r="A1674" s="6" t="s">
        <v>7</v>
      </c>
      <c r="B1674" s="6" t="s">
        <v>20</v>
      </c>
      <c r="C1674" s="6" t="s">
        <v>1285</v>
      </c>
      <c r="D1674" s="11" t="s">
        <v>67</v>
      </c>
      <c r="E1674" s="17" t="s">
        <v>79</v>
      </c>
      <c r="F1674" s="17" t="s">
        <v>91</v>
      </c>
      <c r="G1674" s="11" t="s">
        <v>110</v>
      </c>
      <c r="H1674" s="11" t="s">
        <v>589</v>
      </c>
      <c r="I1674" s="17" t="s">
        <v>138</v>
      </c>
      <c r="J1674" s="17">
        <v>16.517693000000001</v>
      </c>
      <c r="K1674" s="17">
        <v>-96.977099999999993</v>
      </c>
      <c r="L1674" s="17" t="str">
        <f>HYPERLINK("https://maps.google.com/?q=16.517693,-96.9771", "🔗 Ver Mapa")</f>
        <v>🔗 Ver Mapa</v>
      </c>
    </row>
    <row r="1675" spans="1:12" ht="43.5" x14ac:dyDescent="0.35">
      <c r="A1675" s="5" t="s">
        <v>7</v>
      </c>
      <c r="B1675" s="5" t="s">
        <v>20</v>
      </c>
      <c r="C1675" s="5" t="s">
        <v>1285</v>
      </c>
      <c r="D1675" s="8" t="s">
        <v>67</v>
      </c>
      <c r="E1675" s="16" t="s">
        <v>79</v>
      </c>
      <c r="F1675" s="16" t="s">
        <v>91</v>
      </c>
      <c r="G1675" s="8" t="s">
        <v>110</v>
      </c>
      <c r="H1675" s="8" t="s">
        <v>589</v>
      </c>
      <c r="I1675" s="16" t="s">
        <v>138</v>
      </c>
      <c r="J1675" s="16">
        <v>16.517918000000002</v>
      </c>
      <c r="K1675" s="16">
        <v>-96.977041999999997</v>
      </c>
      <c r="L1675" s="16" t="str">
        <f>HYPERLINK("https://maps.google.com/?q=16.517918,-96.977042", "🔗 Ver Mapa")</f>
        <v>🔗 Ver Mapa</v>
      </c>
    </row>
    <row r="1676" spans="1:12" ht="43.5" x14ac:dyDescent="0.35">
      <c r="A1676" s="6" t="s">
        <v>7</v>
      </c>
      <c r="B1676" s="6" t="s">
        <v>20</v>
      </c>
      <c r="C1676" s="6" t="s">
        <v>1285</v>
      </c>
      <c r="D1676" s="11" t="s">
        <v>67</v>
      </c>
      <c r="E1676" s="17" t="s">
        <v>79</v>
      </c>
      <c r="F1676" s="17" t="s">
        <v>91</v>
      </c>
      <c r="G1676" s="11" t="s">
        <v>110</v>
      </c>
      <c r="H1676" s="11" t="s">
        <v>589</v>
      </c>
      <c r="I1676" s="17" t="s">
        <v>138</v>
      </c>
      <c r="J1676" s="17">
        <v>16.518142999999998</v>
      </c>
      <c r="K1676" s="17">
        <v>-96.976983000000004</v>
      </c>
      <c r="L1676" s="17" t="str">
        <f>HYPERLINK("https://maps.google.com/?q=16.518143,-96.976983", "🔗 Ver Mapa")</f>
        <v>🔗 Ver Mapa</v>
      </c>
    </row>
    <row r="1677" spans="1:12" ht="43.5" x14ac:dyDescent="0.35">
      <c r="A1677" s="5" t="s">
        <v>7</v>
      </c>
      <c r="B1677" s="5" t="s">
        <v>20</v>
      </c>
      <c r="C1677" s="5" t="s">
        <v>1285</v>
      </c>
      <c r="D1677" s="8" t="s">
        <v>67</v>
      </c>
      <c r="E1677" s="16" t="s">
        <v>79</v>
      </c>
      <c r="F1677" s="16" t="s">
        <v>91</v>
      </c>
      <c r="G1677" s="8" t="s">
        <v>110</v>
      </c>
      <c r="H1677" s="8" t="s">
        <v>589</v>
      </c>
      <c r="I1677" s="16" t="s">
        <v>138</v>
      </c>
      <c r="J1677" s="16">
        <v>16.518377999999998</v>
      </c>
      <c r="K1677" s="16">
        <v>-96.976934</v>
      </c>
      <c r="L1677" s="16" t="str">
        <f>HYPERLINK("https://maps.google.com/?q=16.518378,-96.976934", "🔗 Ver Mapa")</f>
        <v>🔗 Ver Mapa</v>
      </c>
    </row>
    <row r="1678" spans="1:12" ht="43.5" x14ac:dyDescent="0.35">
      <c r="A1678" s="6" t="s">
        <v>7</v>
      </c>
      <c r="B1678" s="6" t="s">
        <v>20</v>
      </c>
      <c r="C1678" s="6" t="s">
        <v>1285</v>
      </c>
      <c r="D1678" s="11" t="s">
        <v>67</v>
      </c>
      <c r="E1678" s="17" t="s">
        <v>79</v>
      </c>
      <c r="F1678" s="17" t="s">
        <v>91</v>
      </c>
      <c r="G1678" s="11" t="s">
        <v>110</v>
      </c>
      <c r="H1678" s="11" t="s">
        <v>589</v>
      </c>
      <c r="I1678" s="17" t="s">
        <v>138</v>
      </c>
      <c r="J1678" s="17">
        <v>16.518612000000001</v>
      </c>
      <c r="K1678" s="17">
        <v>-96.976875000000007</v>
      </c>
      <c r="L1678" s="17" t="str">
        <f>HYPERLINK("https://maps.google.com/?q=16.518612,-96.976875", "🔗 Ver Mapa")</f>
        <v>🔗 Ver Mapa</v>
      </c>
    </row>
    <row r="1679" spans="1:12" ht="43.5" x14ac:dyDescent="0.35">
      <c r="A1679" s="5" t="s">
        <v>7</v>
      </c>
      <c r="B1679" s="5" t="s">
        <v>20</v>
      </c>
      <c r="C1679" s="5" t="s">
        <v>1285</v>
      </c>
      <c r="D1679" s="8" t="s">
        <v>67</v>
      </c>
      <c r="E1679" s="16" t="s">
        <v>79</v>
      </c>
      <c r="F1679" s="16" t="s">
        <v>91</v>
      </c>
      <c r="G1679" s="8" t="s">
        <v>110</v>
      </c>
      <c r="H1679" s="8" t="s">
        <v>589</v>
      </c>
      <c r="I1679" s="16" t="s">
        <v>138</v>
      </c>
      <c r="J1679" s="16">
        <v>16.521073999999999</v>
      </c>
      <c r="K1679" s="16">
        <v>-96.975492000000003</v>
      </c>
      <c r="L1679" s="16" t="str">
        <f>HYPERLINK("https://maps.google.com/?q=16.521074,-96.975492", "🔗 Ver Mapa")</f>
        <v>🔗 Ver Mapa</v>
      </c>
    </row>
    <row r="1680" spans="1:12" ht="43.5" x14ac:dyDescent="0.35">
      <c r="A1680" s="6" t="s">
        <v>7</v>
      </c>
      <c r="B1680" s="6" t="s">
        <v>20</v>
      </c>
      <c r="C1680" s="6" t="s">
        <v>1285</v>
      </c>
      <c r="D1680" s="11" t="s">
        <v>67</v>
      </c>
      <c r="E1680" s="17" t="s">
        <v>79</v>
      </c>
      <c r="F1680" s="17" t="s">
        <v>91</v>
      </c>
      <c r="G1680" s="11" t="s">
        <v>110</v>
      </c>
      <c r="H1680" s="11" t="s">
        <v>589</v>
      </c>
      <c r="I1680" s="17" t="s">
        <v>138</v>
      </c>
      <c r="J1680" s="17">
        <v>16.521113</v>
      </c>
      <c r="K1680" s="17">
        <v>-96.975735</v>
      </c>
      <c r="L1680" s="17" t="str">
        <f>HYPERLINK("https://maps.google.com/?q=16.521113,-96.975735", "🔗 Ver Mapa")</f>
        <v>🔗 Ver Mapa</v>
      </c>
    </row>
    <row r="1681" spans="1:12" ht="43.5" x14ac:dyDescent="0.35">
      <c r="A1681" s="5" t="s">
        <v>7</v>
      </c>
      <c r="B1681" s="5" t="s">
        <v>20</v>
      </c>
      <c r="C1681" s="5" t="s">
        <v>1285</v>
      </c>
      <c r="D1681" s="8" t="s">
        <v>67</v>
      </c>
      <c r="E1681" s="16" t="s">
        <v>79</v>
      </c>
      <c r="F1681" s="16" t="s">
        <v>91</v>
      </c>
      <c r="G1681" s="8" t="s">
        <v>110</v>
      </c>
      <c r="H1681" s="8" t="s">
        <v>589</v>
      </c>
      <c r="I1681" s="16" t="s">
        <v>138</v>
      </c>
      <c r="J1681" s="16">
        <v>16.521159999999998</v>
      </c>
      <c r="K1681" s="16">
        <v>-96.975949999999997</v>
      </c>
      <c r="L1681" s="16" t="str">
        <f>HYPERLINK("https://maps.google.com/?q=16.52116,-96.97595", "🔗 Ver Mapa")</f>
        <v>🔗 Ver Mapa</v>
      </c>
    </row>
    <row r="1682" spans="1:12" ht="43.5" x14ac:dyDescent="0.35">
      <c r="A1682" s="6" t="s">
        <v>7</v>
      </c>
      <c r="B1682" s="6" t="s">
        <v>20</v>
      </c>
      <c r="C1682" s="6" t="s">
        <v>1285</v>
      </c>
      <c r="D1682" s="11" t="s">
        <v>67</v>
      </c>
      <c r="E1682" s="17" t="s">
        <v>79</v>
      </c>
      <c r="F1682" s="17" t="s">
        <v>91</v>
      </c>
      <c r="G1682" s="11" t="s">
        <v>110</v>
      </c>
      <c r="H1682" s="11" t="s">
        <v>589</v>
      </c>
      <c r="I1682" s="17" t="s">
        <v>138</v>
      </c>
      <c r="J1682" s="17">
        <v>16.521217</v>
      </c>
      <c r="K1682" s="17">
        <v>-96.976183000000006</v>
      </c>
      <c r="L1682" s="17" t="str">
        <f>HYPERLINK("https://maps.google.com/?q=16.521217,-96.976183", "🔗 Ver Mapa")</f>
        <v>🔗 Ver Mapa</v>
      </c>
    </row>
    <row r="1683" spans="1:12" ht="43.5" x14ac:dyDescent="0.35">
      <c r="A1683" s="5" t="s">
        <v>7</v>
      </c>
      <c r="B1683" s="5" t="s">
        <v>20</v>
      </c>
      <c r="C1683" s="5" t="s">
        <v>1285</v>
      </c>
      <c r="D1683" s="8" t="s">
        <v>67</v>
      </c>
      <c r="E1683" s="16" t="s">
        <v>79</v>
      </c>
      <c r="F1683" s="16" t="s">
        <v>91</v>
      </c>
      <c r="G1683" s="8" t="s">
        <v>110</v>
      </c>
      <c r="H1683" s="8" t="s">
        <v>589</v>
      </c>
      <c r="I1683" s="16" t="s">
        <v>138</v>
      </c>
      <c r="J1683" s="16">
        <v>16.521273000000001</v>
      </c>
      <c r="K1683" s="16">
        <v>-96.976416999999998</v>
      </c>
      <c r="L1683" s="16" t="str">
        <f>HYPERLINK("https://maps.google.com/?q=16.521273,-96.976417", "🔗 Ver Mapa")</f>
        <v>🔗 Ver Mapa</v>
      </c>
    </row>
    <row r="1684" spans="1:12" ht="43.5" x14ac:dyDescent="0.35">
      <c r="A1684" s="6" t="s">
        <v>7</v>
      </c>
      <c r="B1684" s="6" t="s">
        <v>20</v>
      </c>
      <c r="C1684" s="6" t="s">
        <v>1285</v>
      </c>
      <c r="D1684" s="11" t="s">
        <v>67</v>
      </c>
      <c r="E1684" s="17" t="s">
        <v>79</v>
      </c>
      <c r="F1684" s="17" t="s">
        <v>91</v>
      </c>
      <c r="G1684" s="11" t="s">
        <v>110</v>
      </c>
      <c r="H1684" s="11" t="s">
        <v>589</v>
      </c>
      <c r="I1684" s="17" t="s">
        <v>138</v>
      </c>
      <c r="J1684" s="17">
        <v>16.521339000000001</v>
      </c>
      <c r="K1684" s="17">
        <v>-96.976641000000001</v>
      </c>
      <c r="L1684" s="17" t="str">
        <f>HYPERLINK("https://maps.google.com/?q=16.521339,-96.976641", "🔗 Ver Mapa")</f>
        <v>🔗 Ver Mapa</v>
      </c>
    </row>
    <row r="1685" spans="1:12" ht="43.5" x14ac:dyDescent="0.35">
      <c r="A1685" s="5" t="s">
        <v>7</v>
      </c>
      <c r="B1685" s="5" t="s">
        <v>20</v>
      </c>
      <c r="C1685" s="5" t="s">
        <v>1285</v>
      </c>
      <c r="D1685" s="8" t="s">
        <v>67</v>
      </c>
      <c r="E1685" s="16" t="s">
        <v>79</v>
      </c>
      <c r="F1685" s="16" t="s">
        <v>91</v>
      </c>
      <c r="G1685" s="8" t="s">
        <v>110</v>
      </c>
      <c r="H1685" s="8" t="s">
        <v>589</v>
      </c>
      <c r="I1685" s="16" t="s">
        <v>138</v>
      </c>
      <c r="J1685" s="16">
        <v>16.521412999999999</v>
      </c>
      <c r="K1685" s="16">
        <v>-96.976865000000004</v>
      </c>
      <c r="L1685" s="16" t="str">
        <f>HYPERLINK("https://maps.google.com/?q=16.521413,-96.976865", "🔗 Ver Mapa")</f>
        <v>🔗 Ver Mapa</v>
      </c>
    </row>
    <row r="1686" spans="1:12" ht="43.5" x14ac:dyDescent="0.35">
      <c r="A1686" s="6" t="s">
        <v>7</v>
      </c>
      <c r="B1686" s="6" t="s">
        <v>20</v>
      </c>
      <c r="C1686" s="6" t="s">
        <v>1285</v>
      </c>
      <c r="D1686" s="11" t="s">
        <v>67</v>
      </c>
      <c r="E1686" s="17" t="s">
        <v>79</v>
      </c>
      <c r="F1686" s="17" t="s">
        <v>91</v>
      </c>
      <c r="G1686" s="11" t="s">
        <v>110</v>
      </c>
      <c r="H1686" s="11" t="s">
        <v>589</v>
      </c>
      <c r="I1686" s="17" t="s">
        <v>138</v>
      </c>
      <c r="J1686" s="17">
        <v>16.521477999999998</v>
      </c>
      <c r="K1686" s="17">
        <v>-96.977080000000001</v>
      </c>
      <c r="L1686" s="17" t="str">
        <f>HYPERLINK("https://maps.google.com/?q=16.521478,-96.97708", "🔗 Ver Mapa")</f>
        <v>🔗 Ver Mapa</v>
      </c>
    </row>
    <row r="1687" spans="1:12" ht="43.5" x14ac:dyDescent="0.35">
      <c r="A1687" s="5" t="s">
        <v>7</v>
      </c>
      <c r="B1687" s="5" t="s">
        <v>20</v>
      </c>
      <c r="C1687" s="5" t="s">
        <v>1285</v>
      </c>
      <c r="D1687" s="8" t="s">
        <v>67</v>
      </c>
      <c r="E1687" s="16" t="s">
        <v>79</v>
      </c>
      <c r="F1687" s="16" t="s">
        <v>91</v>
      </c>
      <c r="G1687" s="8" t="s">
        <v>110</v>
      </c>
      <c r="H1687" s="8" t="s">
        <v>589</v>
      </c>
      <c r="I1687" s="16" t="s">
        <v>138</v>
      </c>
      <c r="J1687" s="16">
        <v>16.521578999999999</v>
      </c>
      <c r="K1687" s="16">
        <v>-96.977219000000005</v>
      </c>
      <c r="L1687" s="16" t="str">
        <f>HYPERLINK("https://maps.google.com/?q=16.521579,-96.977219", "🔗 Ver Mapa")</f>
        <v>🔗 Ver Mapa</v>
      </c>
    </row>
    <row r="1688" spans="1:12" ht="43.5" x14ac:dyDescent="0.35">
      <c r="A1688" s="6" t="s">
        <v>7</v>
      </c>
      <c r="B1688" s="6" t="s">
        <v>20</v>
      </c>
      <c r="C1688" s="6" t="s">
        <v>1285</v>
      </c>
      <c r="D1688" s="11" t="s">
        <v>67</v>
      </c>
      <c r="E1688" s="17" t="s">
        <v>79</v>
      </c>
      <c r="F1688" s="17" t="s">
        <v>91</v>
      </c>
      <c r="G1688" s="11" t="s">
        <v>110</v>
      </c>
      <c r="H1688" s="11" t="s">
        <v>589</v>
      </c>
      <c r="I1688" s="17" t="s">
        <v>138</v>
      </c>
      <c r="J1688" s="17">
        <v>16.52168</v>
      </c>
      <c r="K1688" s="17">
        <v>-96.977414999999993</v>
      </c>
      <c r="L1688" s="17" t="str">
        <f>HYPERLINK("https://maps.google.com/?q=16.52168,-96.977415", "🔗 Ver Mapa")</f>
        <v>🔗 Ver Mapa</v>
      </c>
    </row>
    <row r="1689" spans="1:12" ht="43.5" x14ac:dyDescent="0.35">
      <c r="A1689" s="5" t="s">
        <v>7</v>
      </c>
      <c r="B1689" s="5" t="s">
        <v>20</v>
      </c>
      <c r="C1689" s="5" t="s">
        <v>1285</v>
      </c>
      <c r="D1689" s="8" t="s">
        <v>67</v>
      </c>
      <c r="E1689" s="16" t="s">
        <v>79</v>
      </c>
      <c r="F1689" s="16" t="s">
        <v>91</v>
      </c>
      <c r="G1689" s="8" t="s">
        <v>110</v>
      </c>
      <c r="H1689" s="8" t="s">
        <v>589</v>
      </c>
      <c r="I1689" s="16" t="s">
        <v>138</v>
      </c>
      <c r="J1689" s="16">
        <v>16.521809000000001</v>
      </c>
      <c r="K1689" s="16">
        <v>-96.977637999999999</v>
      </c>
      <c r="L1689" s="16" t="str">
        <f>HYPERLINK("https://maps.google.com/?q=16.521809,-96.977638", "🔗 Ver Mapa")</f>
        <v>🔗 Ver Mapa</v>
      </c>
    </row>
    <row r="1690" spans="1:12" ht="43.5" x14ac:dyDescent="0.35">
      <c r="A1690" s="6" t="s">
        <v>7</v>
      </c>
      <c r="B1690" s="6" t="s">
        <v>20</v>
      </c>
      <c r="C1690" s="6" t="s">
        <v>1285</v>
      </c>
      <c r="D1690" s="11" t="s">
        <v>67</v>
      </c>
      <c r="E1690" s="17" t="s">
        <v>79</v>
      </c>
      <c r="F1690" s="17" t="s">
        <v>91</v>
      </c>
      <c r="G1690" s="11" t="s">
        <v>110</v>
      </c>
      <c r="H1690" s="11" t="s">
        <v>589</v>
      </c>
      <c r="I1690" s="17" t="s">
        <v>138</v>
      </c>
      <c r="J1690" s="17">
        <v>16.521927999999999</v>
      </c>
      <c r="K1690" s="17">
        <v>-96.977834000000001</v>
      </c>
      <c r="L1690" s="17" t="str">
        <f>HYPERLINK("https://maps.google.com/?q=16.521928,-96.977834", "🔗 Ver Mapa")</f>
        <v>🔗 Ver Mapa</v>
      </c>
    </row>
    <row r="1691" spans="1:12" ht="43.5" x14ac:dyDescent="0.35">
      <c r="A1691" s="5" t="s">
        <v>7</v>
      </c>
      <c r="B1691" s="5" t="s">
        <v>20</v>
      </c>
      <c r="C1691" s="5" t="s">
        <v>1285</v>
      </c>
      <c r="D1691" s="8" t="s">
        <v>67</v>
      </c>
      <c r="E1691" s="16" t="s">
        <v>79</v>
      </c>
      <c r="F1691" s="16" t="s">
        <v>91</v>
      </c>
      <c r="G1691" s="8" t="s">
        <v>110</v>
      </c>
      <c r="H1691" s="8" t="s">
        <v>589</v>
      </c>
      <c r="I1691" s="16" t="s">
        <v>138</v>
      </c>
      <c r="J1691" s="16">
        <v>16.522057</v>
      </c>
      <c r="K1691" s="16">
        <v>-96.978037999999998</v>
      </c>
      <c r="L1691" s="16" t="str">
        <f>HYPERLINK("https://maps.google.com/?q=16.522057,-96.978038", "🔗 Ver Mapa")</f>
        <v>🔗 Ver Mapa</v>
      </c>
    </row>
    <row r="1692" spans="1:12" ht="43.5" x14ac:dyDescent="0.35">
      <c r="A1692" s="6" t="s">
        <v>7</v>
      </c>
      <c r="B1692" s="6" t="s">
        <v>20</v>
      </c>
      <c r="C1692" s="6" t="s">
        <v>1285</v>
      </c>
      <c r="D1692" s="11" t="s">
        <v>67</v>
      </c>
      <c r="E1692" s="17" t="s">
        <v>79</v>
      </c>
      <c r="F1692" s="17" t="s">
        <v>91</v>
      </c>
      <c r="G1692" s="11" t="s">
        <v>110</v>
      </c>
      <c r="H1692" s="11" t="s">
        <v>589</v>
      </c>
      <c r="I1692" s="17" t="s">
        <v>138</v>
      </c>
      <c r="J1692" s="17">
        <v>16.522172999999999</v>
      </c>
      <c r="K1692" s="17">
        <v>-96.978240999999997</v>
      </c>
      <c r="L1692" s="17" t="str">
        <f>HYPERLINK("https://maps.google.com/?q=16.522173,-96.978241", "🔗 Ver Mapa")</f>
        <v>🔗 Ver Mapa</v>
      </c>
    </row>
    <row r="1693" spans="1:12" ht="43.5" x14ac:dyDescent="0.35">
      <c r="A1693" s="5" t="s">
        <v>7</v>
      </c>
      <c r="B1693" s="5" t="s">
        <v>20</v>
      </c>
      <c r="C1693" s="5" t="s">
        <v>1285</v>
      </c>
      <c r="D1693" s="8" t="s">
        <v>67</v>
      </c>
      <c r="E1693" s="16" t="s">
        <v>79</v>
      </c>
      <c r="F1693" s="16" t="s">
        <v>91</v>
      </c>
      <c r="G1693" s="8" t="s">
        <v>110</v>
      </c>
      <c r="H1693" s="8" t="s">
        <v>589</v>
      </c>
      <c r="I1693" s="16" t="s">
        <v>138</v>
      </c>
      <c r="J1693" s="16">
        <v>16.522307000000001</v>
      </c>
      <c r="K1693" s="16">
        <v>-96.978431999999998</v>
      </c>
      <c r="L1693" s="16" t="str">
        <f>HYPERLINK("https://maps.google.com/?q=16.522307,-96.978432", "🔗 Ver Mapa")</f>
        <v>🔗 Ver Mapa</v>
      </c>
    </row>
    <row r="1694" spans="1:12" ht="43.5" x14ac:dyDescent="0.35">
      <c r="A1694" s="6" t="s">
        <v>7</v>
      </c>
      <c r="B1694" s="6" t="s">
        <v>20</v>
      </c>
      <c r="C1694" s="6" t="s">
        <v>1285</v>
      </c>
      <c r="D1694" s="11" t="s">
        <v>67</v>
      </c>
      <c r="E1694" s="17" t="s">
        <v>79</v>
      </c>
      <c r="F1694" s="17" t="s">
        <v>91</v>
      </c>
      <c r="G1694" s="11" t="s">
        <v>110</v>
      </c>
      <c r="H1694" s="11" t="s">
        <v>589</v>
      </c>
      <c r="I1694" s="17" t="s">
        <v>138</v>
      </c>
      <c r="J1694" s="17">
        <v>16.522580000000001</v>
      </c>
      <c r="K1694" s="17">
        <v>-96.978475000000003</v>
      </c>
      <c r="L1694" s="17" t="str">
        <f>HYPERLINK("https://maps.google.com/?q=16.52258,-96.978475", "🔗 Ver Mapa")</f>
        <v>🔗 Ver Mapa</v>
      </c>
    </row>
    <row r="1695" spans="1:12" ht="43.5" x14ac:dyDescent="0.35">
      <c r="A1695" s="5" t="s">
        <v>7</v>
      </c>
      <c r="B1695" s="5" t="s">
        <v>20</v>
      </c>
      <c r="C1695" s="5" t="s">
        <v>1285</v>
      </c>
      <c r="D1695" s="8" t="s">
        <v>67</v>
      </c>
      <c r="E1695" s="16" t="s">
        <v>79</v>
      </c>
      <c r="F1695" s="16" t="s">
        <v>91</v>
      </c>
      <c r="G1695" s="8" t="s">
        <v>110</v>
      </c>
      <c r="H1695" s="8" t="s">
        <v>589</v>
      </c>
      <c r="I1695" s="16" t="s">
        <v>138</v>
      </c>
      <c r="J1695" s="16">
        <v>16.522805999999999</v>
      </c>
      <c r="K1695" s="16">
        <v>-96.978409999999997</v>
      </c>
      <c r="L1695" s="16" t="str">
        <f>HYPERLINK("https://maps.google.com/?q=16.522806,-96.97841", "🔗 Ver Mapa")</f>
        <v>🔗 Ver Mapa</v>
      </c>
    </row>
    <row r="1696" spans="1:12" ht="43.5" x14ac:dyDescent="0.35">
      <c r="A1696" s="6" t="s">
        <v>7</v>
      </c>
      <c r="B1696" s="6" t="s">
        <v>20</v>
      </c>
      <c r="C1696" s="6" t="s">
        <v>1285</v>
      </c>
      <c r="D1696" s="11" t="s">
        <v>67</v>
      </c>
      <c r="E1696" s="17" t="s">
        <v>79</v>
      </c>
      <c r="F1696" s="17" t="s">
        <v>91</v>
      </c>
      <c r="G1696" s="11" t="s">
        <v>110</v>
      </c>
      <c r="H1696" s="11" t="s">
        <v>589</v>
      </c>
      <c r="I1696" s="17" t="s">
        <v>138</v>
      </c>
      <c r="J1696" s="17">
        <v>16.523026000000002</v>
      </c>
      <c r="K1696" s="17">
        <v>-96.978318999999999</v>
      </c>
      <c r="L1696" s="17" t="str">
        <f>HYPERLINK("https://maps.google.com/?q=16.523026,-96.978319", "🔗 Ver Mapa")</f>
        <v>🔗 Ver Mapa</v>
      </c>
    </row>
    <row r="1697" spans="1:12" ht="43.5" x14ac:dyDescent="0.35">
      <c r="A1697" s="5" t="s">
        <v>7</v>
      </c>
      <c r="B1697" s="5" t="s">
        <v>20</v>
      </c>
      <c r="C1697" s="5" t="s">
        <v>1285</v>
      </c>
      <c r="D1697" s="8" t="s">
        <v>67</v>
      </c>
      <c r="E1697" s="16" t="s">
        <v>79</v>
      </c>
      <c r="F1697" s="16" t="s">
        <v>91</v>
      </c>
      <c r="G1697" s="8" t="s">
        <v>110</v>
      </c>
      <c r="H1697" s="8" t="s">
        <v>589</v>
      </c>
      <c r="I1697" s="16" t="s">
        <v>138</v>
      </c>
      <c r="J1697" s="16">
        <v>16.523215</v>
      </c>
      <c r="K1697" s="16">
        <v>-96.978204000000005</v>
      </c>
      <c r="L1697" s="16" t="str">
        <f>HYPERLINK("https://maps.google.com/?q=16.523215,-96.978204", "🔗 Ver Mapa")</f>
        <v>🔗 Ver Mapa</v>
      </c>
    </row>
    <row r="1698" spans="1:12" ht="43.5" x14ac:dyDescent="0.35">
      <c r="A1698" s="6" t="s">
        <v>7</v>
      </c>
      <c r="B1698" s="6" t="s">
        <v>20</v>
      </c>
      <c r="C1698" s="6" t="s">
        <v>1285</v>
      </c>
      <c r="D1698" s="11" t="s">
        <v>67</v>
      </c>
      <c r="E1698" s="17" t="s">
        <v>79</v>
      </c>
      <c r="F1698" s="17" t="s">
        <v>91</v>
      </c>
      <c r="G1698" s="11" t="s">
        <v>110</v>
      </c>
      <c r="H1698" s="11" t="s">
        <v>589</v>
      </c>
      <c r="I1698" s="17" t="s">
        <v>138</v>
      </c>
      <c r="J1698" s="17">
        <v>16.523440999999998</v>
      </c>
      <c r="K1698" s="17">
        <v>-96.978211000000002</v>
      </c>
      <c r="L1698" s="17" t="str">
        <f>HYPERLINK("https://maps.google.com/?q=16.523441,-96.978211", "🔗 Ver Mapa")</f>
        <v>🔗 Ver Mapa</v>
      </c>
    </row>
    <row r="1699" spans="1:12" ht="43.5" x14ac:dyDescent="0.35">
      <c r="A1699" s="5" t="s">
        <v>7</v>
      </c>
      <c r="B1699" s="5" t="s">
        <v>20</v>
      </c>
      <c r="C1699" s="5" t="s">
        <v>1285</v>
      </c>
      <c r="D1699" s="8" t="s">
        <v>67</v>
      </c>
      <c r="E1699" s="16" t="s">
        <v>79</v>
      </c>
      <c r="F1699" s="16" t="s">
        <v>91</v>
      </c>
      <c r="G1699" s="8" t="s">
        <v>110</v>
      </c>
      <c r="H1699" s="8" t="s">
        <v>589</v>
      </c>
      <c r="I1699" s="16" t="s">
        <v>138</v>
      </c>
      <c r="J1699" s="16">
        <v>16.523592000000001</v>
      </c>
      <c r="K1699" s="16">
        <v>-96.97824</v>
      </c>
      <c r="L1699" s="16" t="str">
        <f>HYPERLINK("https://maps.google.com/?q=16.523592,-96.97824", "🔗 Ver Mapa")</f>
        <v>🔗 Ver Mapa</v>
      </c>
    </row>
    <row r="1700" spans="1:12" ht="43.5" x14ac:dyDescent="0.35">
      <c r="A1700" s="6" t="s">
        <v>7</v>
      </c>
      <c r="B1700" s="6" t="s">
        <v>20</v>
      </c>
      <c r="C1700" s="6" t="s">
        <v>1285</v>
      </c>
      <c r="D1700" s="11" t="s">
        <v>67</v>
      </c>
      <c r="E1700" s="17" t="s">
        <v>79</v>
      </c>
      <c r="F1700" s="17" t="s">
        <v>91</v>
      </c>
      <c r="G1700" s="11" t="s">
        <v>110</v>
      </c>
      <c r="H1700" s="11" t="s">
        <v>589</v>
      </c>
      <c r="I1700" s="17" t="s">
        <v>138</v>
      </c>
      <c r="J1700" s="17">
        <v>16.523734999999999</v>
      </c>
      <c r="K1700" s="17">
        <v>-96.978198000000006</v>
      </c>
      <c r="L1700" s="17" t="str">
        <f>HYPERLINK("https://maps.google.com/?q=16.523735,-96.978198", "🔗 Ver Mapa")</f>
        <v>🔗 Ver Mapa</v>
      </c>
    </row>
    <row r="1701" spans="1:12" ht="43.5" x14ac:dyDescent="0.35">
      <c r="A1701" s="5" t="s">
        <v>7</v>
      </c>
      <c r="B1701" s="5" t="s">
        <v>20</v>
      </c>
      <c r="C1701" s="5" t="s">
        <v>1285</v>
      </c>
      <c r="D1701" s="8" t="s">
        <v>67</v>
      </c>
      <c r="E1701" s="16" t="s">
        <v>79</v>
      </c>
      <c r="F1701" s="16" t="s">
        <v>91</v>
      </c>
      <c r="G1701" s="8" t="s">
        <v>110</v>
      </c>
      <c r="H1701" s="8" t="s">
        <v>589</v>
      </c>
      <c r="I1701" s="16" t="s">
        <v>138</v>
      </c>
      <c r="J1701" s="16">
        <v>16.523786000000001</v>
      </c>
      <c r="K1701" s="16">
        <v>-96.978423000000006</v>
      </c>
      <c r="L1701" s="16" t="str">
        <f>HYPERLINK("https://maps.google.com/?q=16.523786,-96.978423", "🔗 Ver Mapa")</f>
        <v>🔗 Ver Mapa</v>
      </c>
    </row>
    <row r="1702" spans="1:12" ht="43.5" x14ac:dyDescent="0.35">
      <c r="A1702" s="6" t="s">
        <v>7</v>
      </c>
      <c r="B1702" s="6" t="s">
        <v>20</v>
      </c>
      <c r="C1702" s="6" t="s">
        <v>1285</v>
      </c>
      <c r="D1702" s="11" t="s">
        <v>67</v>
      </c>
      <c r="E1702" s="17" t="s">
        <v>79</v>
      </c>
      <c r="F1702" s="17" t="s">
        <v>91</v>
      </c>
      <c r="G1702" s="11" t="s">
        <v>110</v>
      </c>
      <c r="H1702" s="11" t="s">
        <v>589</v>
      </c>
      <c r="I1702" s="17" t="s">
        <v>138</v>
      </c>
      <c r="J1702" s="17">
        <v>16.523882</v>
      </c>
      <c r="K1702" s="17">
        <v>-96.978060999999997</v>
      </c>
      <c r="L1702" s="17" t="str">
        <f>HYPERLINK("https://maps.google.com/?q=16.523882,-96.978061", "🔗 Ver Mapa")</f>
        <v>🔗 Ver Mapa</v>
      </c>
    </row>
    <row r="1703" spans="1:12" ht="43.5" x14ac:dyDescent="0.35">
      <c r="A1703" s="5" t="s">
        <v>7</v>
      </c>
      <c r="B1703" s="5" t="s">
        <v>20</v>
      </c>
      <c r="C1703" s="5" t="s">
        <v>1285</v>
      </c>
      <c r="D1703" s="8" t="s">
        <v>67</v>
      </c>
      <c r="E1703" s="16" t="s">
        <v>79</v>
      </c>
      <c r="F1703" s="16" t="s">
        <v>91</v>
      </c>
      <c r="G1703" s="8" t="s">
        <v>110</v>
      </c>
      <c r="H1703" s="8" t="s">
        <v>589</v>
      </c>
      <c r="I1703" s="16" t="s">
        <v>138</v>
      </c>
      <c r="J1703" s="16">
        <v>16.523959000000001</v>
      </c>
      <c r="K1703" s="16">
        <v>-96.978561999999997</v>
      </c>
      <c r="L1703" s="16" t="str">
        <f>HYPERLINK("https://maps.google.com/?q=16.523959,-96.978562", "🔗 Ver Mapa")</f>
        <v>🔗 Ver Mapa</v>
      </c>
    </row>
    <row r="1704" spans="1:12" ht="43.5" x14ac:dyDescent="0.35">
      <c r="A1704" s="6" t="s">
        <v>7</v>
      </c>
      <c r="B1704" s="6" t="s">
        <v>20</v>
      </c>
      <c r="C1704" s="6" t="s">
        <v>1285</v>
      </c>
      <c r="D1704" s="11" t="s">
        <v>67</v>
      </c>
      <c r="E1704" s="17" t="s">
        <v>79</v>
      </c>
      <c r="F1704" s="17" t="s">
        <v>91</v>
      </c>
      <c r="G1704" s="11" t="s">
        <v>110</v>
      </c>
      <c r="H1704" s="11" t="s">
        <v>589</v>
      </c>
      <c r="I1704" s="17" t="s">
        <v>138</v>
      </c>
      <c r="J1704" s="17">
        <v>16.524099</v>
      </c>
      <c r="K1704" s="17">
        <v>-96.977988999999994</v>
      </c>
      <c r="L1704" s="17" t="str">
        <f>HYPERLINK("https://maps.google.com/?q=16.524099,-96.977989", "🔗 Ver Mapa")</f>
        <v>🔗 Ver Mapa</v>
      </c>
    </row>
    <row r="1705" spans="1:12" ht="43.5" x14ac:dyDescent="0.35">
      <c r="A1705" s="5" t="s">
        <v>7</v>
      </c>
      <c r="B1705" s="5" t="s">
        <v>20</v>
      </c>
      <c r="C1705" s="5" t="s">
        <v>1285</v>
      </c>
      <c r="D1705" s="8" t="s">
        <v>67</v>
      </c>
      <c r="E1705" s="16" t="s">
        <v>79</v>
      </c>
      <c r="F1705" s="16" t="s">
        <v>91</v>
      </c>
      <c r="G1705" s="8" t="s">
        <v>110</v>
      </c>
      <c r="H1705" s="8" t="s">
        <v>589</v>
      </c>
      <c r="I1705" s="16" t="s">
        <v>138</v>
      </c>
      <c r="J1705" s="16">
        <v>16.524141</v>
      </c>
      <c r="K1705" s="16">
        <v>-96.978690999999998</v>
      </c>
      <c r="L1705" s="16" t="str">
        <f>HYPERLINK("https://maps.google.com/?q=16.524141,-96.978691", "🔗 Ver Mapa")</f>
        <v>🔗 Ver Mapa</v>
      </c>
    </row>
    <row r="1706" spans="1:12" ht="43.5" x14ac:dyDescent="0.35">
      <c r="A1706" s="6" t="s">
        <v>7</v>
      </c>
      <c r="B1706" s="6" t="s">
        <v>20</v>
      </c>
      <c r="C1706" s="6" t="s">
        <v>1285</v>
      </c>
      <c r="D1706" s="11" t="s">
        <v>67</v>
      </c>
      <c r="E1706" s="17" t="s">
        <v>79</v>
      </c>
      <c r="F1706" s="17" t="s">
        <v>91</v>
      </c>
      <c r="G1706" s="11" t="s">
        <v>110</v>
      </c>
      <c r="H1706" s="11" t="s">
        <v>589</v>
      </c>
      <c r="I1706" s="17" t="s">
        <v>138</v>
      </c>
      <c r="J1706" s="17">
        <v>16.524301000000001</v>
      </c>
      <c r="K1706" s="17">
        <v>-96.977974000000003</v>
      </c>
      <c r="L1706" s="17" t="str">
        <f>HYPERLINK("https://maps.google.com/?q=16.524301,-96.977974", "🔗 Ver Mapa")</f>
        <v>🔗 Ver Mapa</v>
      </c>
    </row>
    <row r="1707" spans="1:12" ht="43.5" x14ac:dyDescent="0.35">
      <c r="A1707" s="5" t="s">
        <v>7</v>
      </c>
      <c r="B1707" s="5" t="s">
        <v>20</v>
      </c>
      <c r="C1707" s="5" t="s">
        <v>1285</v>
      </c>
      <c r="D1707" s="8" t="s">
        <v>67</v>
      </c>
      <c r="E1707" s="16" t="s">
        <v>79</v>
      </c>
      <c r="F1707" s="16" t="s">
        <v>91</v>
      </c>
      <c r="G1707" s="8" t="s">
        <v>110</v>
      </c>
      <c r="H1707" s="8" t="s">
        <v>589</v>
      </c>
      <c r="I1707" s="16" t="s">
        <v>138</v>
      </c>
      <c r="J1707" s="16">
        <v>16.524359</v>
      </c>
      <c r="K1707" s="16">
        <v>-96.978763999999998</v>
      </c>
      <c r="L1707" s="16" t="str">
        <f>HYPERLINK("https://maps.google.com/?q=16.524359,-96.978764", "🔗 Ver Mapa")</f>
        <v>🔗 Ver Mapa</v>
      </c>
    </row>
    <row r="1708" spans="1:12" ht="43.5" x14ac:dyDescent="0.35">
      <c r="A1708" s="6" t="s">
        <v>7</v>
      </c>
      <c r="B1708" s="6" t="s">
        <v>20</v>
      </c>
      <c r="C1708" s="6" t="s">
        <v>1285</v>
      </c>
      <c r="D1708" s="11" t="s">
        <v>67</v>
      </c>
      <c r="E1708" s="17" t="s">
        <v>79</v>
      </c>
      <c r="F1708" s="17" t="s">
        <v>91</v>
      </c>
      <c r="G1708" s="11" t="s">
        <v>110</v>
      </c>
      <c r="H1708" s="11" t="s">
        <v>589</v>
      </c>
      <c r="I1708" s="17" t="s">
        <v>138</v>
      </c>
      <c r="J1708" s="17">
        <v>16.524484999999999</v>
      </c>
      <c r="K1708" s="17">
        <v>-96.977930000000001</v>
      </c>
      <c r="L1708" s="17" t="str">
        <f>HYPERLINK("https://maps.google.com/?q=16.524485,-96.97793", "🔗 Ver Mapa")</f>
        <v>🔗 Ver Mapa</v>
      </c>
    </row>
    <row r="1709" spans="1:12" ht="43.5" x14ac:dyDescent="0.35">
      <c r="A1709" s="5" t="s">
        <v>7</v>
      </c>
      <c r="B1709" s="5" t="s">
        <v>20</v>
      </c>
      <c r="C1709" s="5" t="s">
        <v>1285</v>
      </c>
      <c r="D1709" s="8" t="s">
        <v>67</v>
      </c>
      <c r="E1709" s="16" t="s">
        <v>79</v>
      </c>
      <c r="F1709" s="16" t="s">
        <v>91</v>
      </c>
      <c r="G1709" s="8" t="s">
        <v>110</v>
      </c>
      <c r="H1709" s="8" t="s">
        <v>589</v>
      </c>
      <c r="I1709" s="16" t="s">
        <v>138</v>
      </c>
      <c r="J1709" s="16">
        <v>16.524584000000001</v>
      </c>
      <c r="K1709" s="16">
        <v>-96.978733000000005</v>
      </c>
      <c r="L1709" s="16" t="str">
        <f>HYPERLINK("https://maps.google.com/?q=16.524584,-96.978733", "🔗 Ver Mapa")</f>
        <v>🔗 Ver Mapa</v>
      </c>
    </row>
    <row r="1710" spans="1:12" ht="43.5" x14ac:dyDescent="0.35">
      <c r="A1710" s="6" t="s">
        <v>7</v>
      </c>
      <c r="B1710" s="6" t="s">
        <v>20</v>
      </c>
      <c r="C1710" s="6" t="s">
        <v>1285</v>
      </c>
      <c r="D1710" s="11" t="s">
        <v>67</v>
      </c>
      <c r="E1710" s="17" t="s">
        <v>79</v>
      </c>
      <c r="F1710" s="17" t="s">
        <v>91</v>
      </c>
      <c r="G1710" s="11" t="s">
        <v>110</v>
      </c>
      <c r="H1710" s="11" t="s">
        <v>589</v>
      </c>
      <c r="I1710" s="17" t="s">
        <v>138</v>
      </c>
      <c r="J1710" s="17">
        <v>16.524702999999999</v>
      </c>
      <c r="K1710" s="17">
        <v>-96.977890000000002</v>
      </c>
      <c r="L1710" s="17" t="str">
        <f>HYPERLINK("https://maps.google.com/?q=16.524703,-96.97789", "🔗 Ver Mapa")</f>
        <v>🔗 Ver Mapa</v>
      </c>
    </row>
    <row r="1711" spans="1:12" ht="43.5" x14ac:dyDescent="0.35">
      <c r="A1711" s="5" t="s">
        <v>7</v>
      </c>
      <c r="B1711" s="5" t="s">
        <v>20</v>
      </c>
      <c r="C1711" s="5" t="s">
        <v>1285</v>
      </c>
      <c r="D1711" s="8" t="s">
        <v>67</v>
      </c>
      <c r="E1711" s="16" t="s">
        <v>79</v>
      </c>
      <c r="F1711" s="16" t="s">
        <v>91</v>
      </c>
      <c r="G1711" s="8" t="s">
        <v>110</v>
      </c>
      <c r="H1711" s="8" t="s">
        <v>589</v>
      </c>
      <c r="I1711" s="16" t="s">
        <v>138</v>
      </c>
      <c r="J1711" s="16">
        <v>16.524719000000001</v>
      </c>
      <c r="K1711" s="16">
        <v>-96.977710999999999</v>
      </c>
      <c r="L1711" s="16" t="str">
        <f>HYPERLINK("https://maps.google.com/?q=16.524719,-96.977711", "🔗 Ver Mapa")</f>
        <v>🔗 Ver Mapa</v>
      </c>
    </row>
    <row r="1712" spans="1:12" ht="43.5" x14ac:dyDescent="0.35">
      <c r="A1712" s="6" t="s">
        <v>7</v>
      </c>
      <c r="B1712" s="6" t="s">
        <v>20</v>
      </c>
      <c r="C1712" s="6" t="s">
        <v>1285</v>
      </c>
      <c r="D1712" s="11" t="s">
        <v>67</v>
      </c>
      <c r="E1712" s="17" t="s">
        <v>79</v>
      </c>
      <c r="F1712" s="17" t="s">
        <v>91</v>
      </c>
      <c r="G1712" s="11" t="s">
        <v>110</v>
      </c>
      <c r="H1712" s="11" t="s">
        <v>589</v>
      </c>
      <c r="I1712" s="17" t="s">
        <v>138</v>
      </c>
      <c r="J1712" s="17">
        <v>16.524723999999999</v>
      </c>
      <c r="K1712" s="17">
        <v>-96.977260999999999</v>
      </c>
      <c r="L1712" s="17" t="str">
        <f>HYPERLINK("https://maps.google.com/?q=16.524724,-96.977261", "🔗 Ver Mapa")</f>
        <v>🔗 Ver Mapa</v>
      </c>
    </row>
    <row r="1713" spans="1:12" ht="43.5" x14ac:dyDescent="0.35">
      <c r="A1713" s="5" t="s">
        <v>7</v>
      </c>
      <c r="B1713" s="5" t="s">
        <v>20</v>
      </c>
      <c r="C1713" s="5" t="s">
        <v>1285</v>
      </c>
      <c r="D1713" s="8" t="s">
        <v>67</v>
      </c>
      <c r="E1713" s="16" t="s">
        <v>79</v>
      </c>
      <c r="F1713" s="16" t="s">
        <v>91</v>
      </c>
      <c r="G1713" s="8" t="s">
        <v>110</v>
      </c>
      <c r="H1713" s="8" t="s">
        <v>589</v>
      </c>
      <c r="I1713" s="16" t="s">
        <v>138</v>
      </c>
      <c r="J1713" s="16">
        <v>16.524726000000001</v>
      </c>
      <c r="K1713" s="16">
        <v>-96.977485999999999</v>
      </c>
      <c r="L1713" s="16" t="str">
        <f>HYPERLINK("https://maps.google.com/?q=16.524726,-96.977486", "🔗 Ver Mapa")</f>
        <v>🔗 Ver Mapa</v>
      </c>
    </row>
    <row r="1714" spans="1:12" ht="43.5" x14ac:dyDescent="0.35">
      <c r="A1714" s="6" t="s">
        <v>7</v>
      </c>
      <c r="B1714" s="6" t="s">
        <v>20</v>
      </c>
      <c r="C1714" s="6" t="s">
        <v>1285</v>
      </c>
      <c r="D1714" s="11" t="s">
        <v>67</v>
      </c>
      <c r="E1714" s="17" t="s">
        <v>79</v>
      </c>
      <c r="F1714" s="17" t="s">
        <v>91</v>
      </c>
      <c r="G1714" s="11" t="s">
        <v>110</v>
      </c>
      <c r="H1714" s="11" t="s">
        <v>589</v>
      </c>
      <c r="I1714" s="17" t="s">
        <v>138</v>
      </c>
      <c r="J1714" s="17">
        <v>16.524743000000001</v>
      </c>
      <c r="K1714" s="17">
        <v>-96.977010000000007</v>
      </c>
      <c r="L1714" s="17" t="str">
        <f>HYPERLINK("https://maps.google.com/?q=16.524743,-96.97701", "🔗 Ver Mapa")</f>
        <v>🔗 Ver Mapa</v>
      </c>
    </row>
    <row r="1715" spans="1:12" ht="43.5" x14ac:dyDescent="0.35">
      <c r="A1715" s="5" t="s">
        <v>7</v>
      </c>
      <c r="B1715" s="5" t="s">
        <v>20</v>
      </c>
      <c r="C1715" s="5" t="s">
        <v>1285</v>
      </c>
      <c r="D1715" s="8" t="s">
        <v>67</v>
      </c>
      <c r="E1715" s="16" t="s">
        <v>79</v>
      </c>
      <c r="F1715" s="16" t="s">
        <v>91</v>
      </c>
      <c r="G1715" s="8" t="s">
        <v>110</v>
      </c>
      <c r="H1715" s="8" t="s">
        <v>589</v>
      </c>
      <c r="I1715" s="16" t="s">
        <v>138</v>
      </c>
      <c r="J1715" s="16">
        <v>16.524781999999998</v>
      </c>
      <c r="K1715" s="16">
        <v>-96.978638000000004</v>
      </c>
      <c r="L1715" s="16" t="str">
        <f>HYPERLINK("https://maps.google.com/?q=16.524782,-96.978638", "🔗 Ver Mapa")</f>
        <v>🔗 Ver Mapa</v>
      </c>
    </row>
    <row r="1716" spans="1:12" ht="43.5" x14ac:dyDescent="0.35">
      <c r="A1716" s="6" t="s">
        <v>7</v>
      </c>
      <c r="B1716" s="6" t="s">
        <v>20</v>
      </c>
      <c r="C1716" s="6" t="s">
        <v>1285</v>
      </c>
      <c r="D1716" s="11" t="s">
        <v>67</v>
      </c>
      <c r="E1716" s="17" t="s">
        <v>79</v>
      </c>
      <c r="F1716" s="17" t="s">
        <v>91</v>
      </c>
      <c r="G1716" s="11" t="s">
        <v>110</v>
      </c>
      <c r="H1716" s="11" t="s">
        <v>589</v>
      </c>
      <c r="I1716" s="17" t="s">
        <v>138</v>
      </c>
      <c r="J1716" s="17">
        <v>16.524811</v>
      </c>
      <c r="K1716" s="17">
        <v>-96.976802000000006</v>
      </c>
      <c r="L1716" s="17" t="str">
        <f>HYPERLINK("https://maps.google.com/?q=16.524811,-96.976802", "🔗 Ver Mapa")</f>
        <v>🔗 Ver Mapa</v>
      </c>
    </row>
    <row r="1717" spans="1:12" ht="43.5" x14ac:dyDescent="0.35">
      <c r="A1717" s="5" t="s">
        <v>7</v>
      </c>
      <c r="B1717" s="5" t="s">
        <v>20</v>
      </c>
      <c r="C1717" s="5" t="s">
        <v>1285</v>
      </c>
      <c r="D1717" s="8" t="s">
        <v>67</v>
      </c>
      <c r="E1717" s="16" t="s">
        <v>79</v>
      </c>
      <c r="F1717" s="16" t="s">
        <v>91</v>
      </c>
      <c r="G1717" s="8" t="s">
        <v>110</v>
      </c>
      <c r="H1717" s="8" t="s">
        <v>589</v>
      </c>
      <c r="I1717" s="16" t="s">
        <v>138</v>
      </c>
      <c r="J1717" s="16">
        <v>16.524877</v>
      </c>
      <c r="K1717" s="16">
        <v>-96.976620999999994</v>
      </c>
      <c r="L1717" s="16" t="str">
        <f>HYPERLINK("https://maps.google.com/?q=16.524877,-96.976621", "🔗 Ver Mapa")</f>
        <v>🔗 Ver Mapa</v>
      </c>
    </row>
    <row r="1718" spans="1:12" ht="43.5" x14ac:dyDescent="0.35">
      <c r="A1718" s="6" t="s">
        <v>7</v>
      </c>
      <c r="B1718" s="6" t="s">
        <v>20</v>
      </c>
      <c r="C1718" s="6" t="s">
        <v>1285</v>
      </c>
      <c r="D1718" s="11" t="s">
        <v>67</v>
      </c>
      <c r="E1718" s="17" t="s">
        <v>79</v>
      </c>
      <c r="F1718" s="17" t="s">
        <v>91</v>
      </c>
      <c r="G1718" s="11" t="s">
        <v>110</v>
      </c>
      <c r="H1718" s="11" t="s">
        <v>589</v>
      </c>
      <c r="I1718" s="17" t="s">
        <v>138</v>
      </c>
      <c r="J1718" s="17">
        <v>16.524971000000001</v>
      </c>
      <c r="K1718" s="17">
        <v>-96.978504999999998</v>
      </c>
      <c r="L1718" s="17" t="str">
        <f>HYPERLINK("https://maps.google.com/?q=16.524971,-96.978505", "🔗 Ver Mapa")</f>
        <v>🔗 Ver Mapa</v>
      </c>
    </row>
    <row r="1719" spans="1:12" ht="43.5" x14ac:dyDescent="0.35">
      <c r="A1719" s="5" t="s">
        <v>7</v>
      </c>
      <c r="B1719" s="5" t="s">
        <v>20</v>
      </c>
      <c r="C1719" s="5" t="s">
        <v>1285</v>
      </c>
      <c r="D1719" s="8" t="s">
        <v>67</v>
      </c>
      <c r="E1719" s="16" t="s">
        <v>79</v>
      </c>
      <c r="F1719" s="16" t="s">
        <v>91</v>
      </c>
      <c r="G1719" s="8" t="s">
        <v>110</v>
      </c>
      <c r="H1719" s="8" t="s">
        <v>589</v>
      </c>
      <c r="I1719" s="16" t="s">
        <v>138</v>
      </c>
      <c r="J1719" s="16">
        <v>16.524982999999999</v>
      </c>
      <c r="K1719" s="16">
        <v>-96.976371999999998</v>
      </c>
      <c r="L1719" s="16" t="str">
        <f>HYPERLINK("https://maps.google.com/?q=16.524983,-96.976372", "🔗 Ver Mapa")</f>
        <v>🔗 Ver Mapa</v>
      </c>
    </row>
    <row r="1720" spans="1:12" ht="43.5" x14ac:dyDescent="0.35">
      <c r="A1720" s="6" t="s">
        <v>7</v>
      </c>
      <c r="B1720" s="6" t="s">
        <v>20</v>
      </c>
      <c r="C1720" s="6" t="s">
        <v>1285</v>
      </c>
      <c r="D1720" s="11" t="s">
        <v>67</v>
      </c>
      <c r="E1720" s="17" t="s">
        <v>79</v>
      </c>
      <c r="F1720" s="17" t="s">
        <v>91</v>
      </c>
      <c r="G1720" s="11" t="s">
        <v>110</v>
      </c>
      <c r="H1720" s="11" t="s">
        <v>589</v>
      </c>
      <c r="I1720" s="17" t="s">
        <v>138</v>
      </c>
      <c r="J1720" s="17">
        <v>16.525168000000001</v>
      </c>
      <c r="K1720" s="17">
        <v>-96.978380999999999</v>
      </c>
      <c r="L1720" s="17" t="str">
        <f>HYPERLINK("https://maps.google.com/?q=16.525168,-96.978381", "🔗 Ver Mapa")</f>
        <v>🔗 Ver Mapa</v>
      </c>
    </row>
    <row r="1721" spans="1:12" ht="43.5" x14ac:dyDescent="0.35">
      <c r="A1721" s="5" t="s">
        <v>7</v>
      </c>
      <c r="B1721" s="5" t="s">
        <v>20</v>
      </c>
      <c r="C1721" s="5" t="s">
        <v>1285</v>
      </c>
      <c r="D1721" s="8" t="s">
        <v>67</v>
      </c>
      <c r="E1721" s="16" t="s">
        <v>79</v>
      </c>
      <c r="F1721" s="16" t="s">
        <v>91</v>
      </c>
      <c r="G1721" s="8" t="s">
        <v>110</v>
      </c>
      <c r="H1721" s="8" t="s">
        <v>589</v>
      </c>
      <c r="I1721" s="16" t="s">
        <v>138</v>
      </c>
      <c r="J1721" s="16">
        <v>16.525348000000001</v>
      </c>
      <c r="K1721" s="16">
        <v>-96.978256999999999</v>
      </c>
      <c r="L1721" s="16" t="str">
        <f>HYPERLINK("https://maps.google.com/?q=16.525348,-96.978257", "🔗 Ver Mapa")</f>
        <v>🔗 Ver Mapa</v>
      </c>
    </row>
    <row r="1722" spans="1:12" ht="43.5" x14ac:dyDescent="0.35">
      <c r="A1722" s="6" t="s">
        <v>7</v>
      </c>
      <c r="B1722" s="6" t="s">
        <v>20</v>
      </c>
      <c r="C1722" s="6" t="s">
        <v>1285</v>
      </c>
      <c r="D1722" s="11" t="s">
        <v>67</v>
      </c>
      <c r="E1722" s="17" t="s">
        <v>79</v>
      </c>
      <c r="F1722" s="17" t="s">
        <v>91</v>
      </c>
      <c r="G1722" s="11" t="s">
        <v>110</v>
      </c>
      <c r="H1722" s="11" t="s">
        <v>589</v>
      </c>
      <c r="I1722" s="17" t="s">
        <v>138</v>
      </c>
      <c r="J1722" s="17">
        <v>16.525535999999999</v>
      </c>
      <c r="K1722" s="17">
        <v>-96.978143000000003</v>
      </c>
      <c r="L1722" s="17" t="str">
        <f>HYPERLINK("https://maps.google.com/?q=16.525536,-96.978143", "🔗 Ver Mapa")</f>
        <v>🔗 Ver Mapa</v>
      </c>
    </row>
    <row r="1723" spans="1:12" ht="43.5" x14ac:dyDescent="0.35">
      <c r="A1723" s="5" t="s">
        <v>7</v>
      </c>
      <c r="B1723" s="5" t="s">
        <v>20</v>
      </c>
      <c r="C1723" s="5" t="s">
        <v>1285</v>
      </c>
      <c r="D1723" s="8" t="s">
        <v>67</v>
      </c>
      <c r="E1723" s="16" t="s">
        <v>79</v>
      </c>
      <c r="F1723" s="16" t="s">
        <v>91</v>
      </c>
      <c r="G1723" s="8" t="s">
        <v>110</v>
      </c>
      <c r="H1723" s="8" t="s">
        <v>589</v>
      </c>
      <c r="I1723" s="16" t="s">
        <v>138</v>
      </c>
      <c r="J1723" s="16">
        <v>16.525725000000001</v>
      </c>
      <c r="K1723" s="16">
        <v>-96.978009999999998</v>
      </c>
      <c r="L1723" s="16" t="str">
        <f>HYPERLINK("https://maps.google.com/?q=16.525725,-96.97801", "🔗 Ver Mapa")</f>
        <v>🔗 Ver Mapa</v>
      </c>
    </row>
    <row r="1724" spans="1:12" ht="43.5" x14ac:dyDescent="0.35">
      <c r="A1724" s="6" t="s">
        <v>7</v>
      </c>
      <c r="B1724" s="6" t="s">
        <v>20</v>
      </c>
      <c r="C1724" s="6" t="s">
        <v>1285</v>
      </c>
      <c r="D1724" s="11" t="s">
        <v>67</v>
      </c>
      <c r="E1724" s="17" t="s">
        <v>79</v>
      </c>
      <c r="F1724" s="17" t="s">
        <v>91</v>
      </c>
      <c r="G1724" s="11" t="s">
        <v>110</v>
      </c>
      <c r="H1724" s="11" t="s">
        <v>589</v>
      </c>
      <c r="I1724" s="17" t="s">
        <v>138</v>
      </c>
      <c r="J1724" s="17">
        <v>16.525904000000001</v>
      </c>
      <c r="K1724" s="17">
        <v>-96.977895000000004</v>
      </c>
      <c r="L1724" s="17" t="str">
        <f>HYPERLINK("https://maps.google.com/?q=16.525904,-96.977895", "🔗 Ver Mapa")</f>
        <v>🔗 Ver Mapa</v>
      </c>
    </row>
    <row r="1725" spans="1:12" ht="43.5" x14ac:dyDescent="0.35">
      <c r="A1725" s="5" t="s">
        <v>7</v>
      </c>
      <c r="B1725" s="5" t="s">
        <v>20</v>
      </c>
      <c r="C1725" s="5" t="s">
        <v>1285</v>
      </c>
      <c r="D1725" s="8" t="s">
        <v>67</v>
      </c>
      <c r="E1725" s="16" t="s">
        <v>79</v>
      </c>
      <c r="F1725" s="16" t="s">
        <v>91</v>
      </c>
      <c r="G1725" s="8" t="s">
        <v>110</v>
      </c>
      <c r="H1725" s="8" t="s">
        <v>589</v>
      </c>
      <c r="I1725" s="16" t="s">
        <v>138</v>
      </c>
      <c r="J1725" s="16">
        <v>16.526074999999999</v>
      </c>
      <c r="K1725" s="16">
        <v>-96.977761999999998</v>
      </c>
      <c r="L1725" s="16" t="str">
        <f>HYPERLINK("https://maps.google.com/?q=16.526075,-96.977762", "🔗 Ver Mapa")</f>
        <v>🔗 Ver Mapa</v>
      </c>
    </row>
    <row r="1726" spans="1:12" ht="43.5" x14ac:dyDescent="0.35">
      <c r="A1726" s="6" t="s">
        <v>7</v>
      </c>
      <c r="B1726" s="6" t="s">
        <v>20</v>
      </c>
      <c r="C1726" s="6" t="s">
        <v>1285</v>
      </c>
      <c r="D1726" s="11" t="s">
        <v>67</v>
      </c>
      <c r="E1726" s="17" t="s">
        <v>79</v>
      </c>
      <c r="F1726" s="17" t="s">
        <v>91</v>
      </c>
      <c r="G1726" s="11" t="s">
        <v>110</v>
      </c>
      <c r="H1726" s="11" t="s">
        <v>589</v>
      </c>
      <c r="I1726" s="17" t="s">
        <v>138</v>
      </c>
      <c r="J1726" s="17">
        <v>16.526254000000002</v>
      </c>
      <c r="K1726" s="17">
        <v>-96.977628999999993</v>
      </c>
      <c r="L1726" s="17" t="str">
        <f>HYPERLINK("https://maps.google.com/?q=16.526254,-96.977629", "🔗 Ver Mapa")</f>
        <v>🔗 Ver Mapa</v>
      </c>
    </row>
    <row r="1727" spans="1:12" ht="43.5" x14ac:dyDescent="0.35">
      <c r="A1727" s="5" t="s">
        <v>7</v>
      </c>
      <c r="B1727" s="5" t="s">
        <v>20</v>
      </c>
      <c r="C1727" s="5" t="s">
        <v>1285</v>
      </c>
      <c r="D1727" s="8" t="s">
        <v>67</v>
      </c>
      <c r="E1727" s="16" t="s">
        <v>79</v>
      </c>
      <c r="F1727" s="16" t="s">
        <v>91</v>
      </c>
      <c r="G1727" s="8" t="s">
        <v>110</v>
      </c>
      <c r="H1727" s="8" t="s">
        <v>589</v>
      </c>
      <c r="I1727" s="16" t="s">
        <v>138</v>
      </c>
      <c r="J1727" s="16">
        <v>16.526443</v>
      </c>
      <c r="K1727" s="16">
        <v>-96.977506000000005</v>
      </c>
      <c r="L1727" s="16" t="str">
        <f>HYPERLINK("https://maps.google.com/?q=16.526443,-96.977506", "🔗 Ver Mapa")</f>
        <v>🔗 Ver Mapa</v>
      </c>
    </row>
    <row r="1728" spans="1:12" ht="43.5" x14ac:dyDescent="0.35">
      <c r="A1728" s="6" t="s">
        <v>7</v>
      </c>
      <c r="B1728" s="6" t="s">
        <v>20</v>
      </c>
      <c r="C1728" s="6" t="s">
        <v>1285</v>
      </c>
      <c r="D1728" s="11" t="s">
        <v>67</v>
      </c>
      <c r="E1728" s="17" t="s">
        <v>79</v>
      </c>
      <c r="F1728" s="17" t="s">
        <v>91</v>
      </c>
      <c r="G1728" s="11" t="s">
        <v>110</v>
      </c>
      <c r="H1728" s="11" t="s">
        <v>589</v>
      </c>
      <c r="I1728" s="17" t="s">
        <v>138</v>
      </c>
      <c r="J1728" s="17">
        <v>16.526622</v>
      </c>
      <c r="K1728" s="17">
        <v>-96.977382000000006</v>
      </c>
      <c r="L1728" s="17" t="str">
        <f>HYPERLINK("https://maps.google.com/?q=16.526622,-96.977382", "🔗 Ver Mapa")</f>
        <v>🔗 Ver Mapa</v>
      </c>
    </row>
    <row r="1729" spans="1:12" ht="43.5" x14ac:dyDescent="0.35">
      <c r="A1729" s="5" t="s">
        <v>7</v>
      </c>
      <c r="B1729" s="5" t="s">
        <v>20</v>
      </c>
      <c r="C1729" s="5" t="s">
        <v>1285</v>
      </c>
      <c r="D1729" s="8" t="s">
        <v>67</v>
      </c>
      <c r="E1729" s="16" t="s">
        <v>79</v>
      </c>
      <c r="F1729" s="16" t="s">
        <v>91</v>
      </c>
      <c r="G1729" s="8" t="s">
        <v>110</v>
      </c>
      <c r="H1729" s="8" t="s">
        <v>589</v>
      </c>
      <c r="I1729" s="16" t="s">
        <v>138</v>
      </c>
      <c r="J1729" s="16">
        <v>16.526802</v>
      </c>
      <c r="K1729" s="16">
        <v>-96.977249</v>
      </c>
      <c r="L1729" s="16" t="str">
        <f>HYPERLINK("https://maps.google.com/?q=16.526802,-96.977249", "🔗 Ver Mapa")</f>
        <v>🔗 Ver Mapa</v>
      </c>
    </row>
    <row r="1730" spans="1:12" ht="43.5" x14ac:dyDescent="0.35">
      <c r="A1730" s="6" t="s">
        <v>7</v>
      </c>
      <c r="B1730" s="6" t="s">
        <v>20</v>
      </c>
      <c r="C1730" s="6" t="s">
        <v>1285</v>
      </c>
      <c r="D1730" s="11" t="s">
        <v>67</v>
      </c>
      <c r="E1730" s="17" t="s">
        <v>79</v>
      </c>
      <c r="F1730" s="17" t="s">
        <v>91</v>
      </c>
      <c r="G1730" s="11" t="s">
        <v>110</v>
      </c>
      <c r="H1730" s="11" t="s">
        <v>589</v>
      </c>
      <c r="I1730" s="17" t="s">
        <v>138</v>
      </c>
      <c r="J1730" s="17">
        <v>16.527032999999999</v>
      </c>
      <c r="K1730" s="17">
        <v>-96.977086</v>
      </c>
      <c r="L1730" s="17" t="str">
        <f>HYPERLINK("https://maps.google.com/?q=16.527033,-96.977086", "🔗 Ver Mapa")</f>
        <v>🔗 Ver Mapa</v>
      </c>
    </row>
    <row r="1731" spans="1:12" ht="43.5" x14ac:dyDescent="0.35">
      <c r="A1731" s="5" t="s">
        <v>7</v>
      </c>
      <c r="B1731" s="5" t="s">
        <v>20</v>
      </c>
      <c r="C1731" s="5" t="s">
        <v>1285</v>
      </c>
      <c r="D1731" s="8" t="s">
        <v>67</v>
      </c>
      <c r="E1731" s="16" t="s">
        <v>79</v>
      </c>
      <c r="F1731" s="16" t="s">
        <v>91</v>
      </c>
      <c r="G1731" s="8" t="s">
        <v>110</v>
      </c>
      <c r="H1731" s="8" t="s">
        <v>589</v>
      </c>
      <c r="I1731" s="16" t="s">
        <v>138</v>
      </c>
      <c r="J1731" s="16">
        <v>16.527227</v>
      </c>
      <c r="K1731" s="16">
        <v>-96.976951</v>
      </c>
      <c r="L1731" s="16" t="str">
        <f>HYPERLINK("https://maps.google.com/?q=16.527227,-96.976951", "🔗 Ver Mapa")</f>
        <v>🔗 Ver Mapa</v>
      </c>
    </row>
    <row r="1732" spans="1:12" ht="43.5" x14ac:dyDescent="0.35">
      <c r="A1732" s="6" t="s">
        <v>7</v>
      </c>
      <c r="B1732" s="6" t="s">
        <v>20</v>
      </c>
      <c r="C1732" s="6" t="s">
        <v>1285</v>
      </c>
      <c r="D1732" s="11" t="s">
        <v>67</v>
      </c>
      <c r="E1732" s="17" t="s">
        <v>79</v>
      </c>
      <c r="F1732" s="17" t="s">
        <v>91</v>
      </c>
      <c r="G1732" s="11" t="s">
        <v>110</v>
      </c>
      <c r="H1732" s="11" t="s">
        <v>589</v>
      </c>
      <c r="I1732" s="17" t="s">
        <v>138</v>
      </c>
      <c r="J1732" s="17">
        <v>16.527425999999998</v>
      </c>
      <c r="K1732" s="17">
        <v>-96.976787999999999</v>
      </c>
      <c r="L1732" s="17" t="str">
        <f>HYPERLINK("https://maps.google.com/?q=16.527426,-96.976788", "🔗 Ver Mapa")</f>
        <v>🔗 Ver Mapa</v>
      </c>
    </row>
    <row r="1733" spans="1:12" ht="58" x14ac:dyDescent="0.35">
      <c r="A1733" s="5" t="s">
        <v>7</v>
      </c>
      <c r="B1733" s="5" t="s">
        <v>20</v>
      </c>
      <c r="C1733" s="5" t="s">
        <v>1286</v>
      </c>
      <c r="D1733" s="8" t="s">
        <v>219</v>
      </c>
      <c r="E1733" s="16" t="s">
        <v>75</v>
      </c>
      <c r="F1733" s="16" t="s">
        <v>84</v>
      </c>
      <c r="G1733" s="8" t="s">
        <v>98</v>
      </c>
      <c r="H1733" s="8" t="s">
        <v>1287</v>
      </c>
      <c r="I1733" s="16" t="s">
        <v>138</v>
      </c>
      <c r="J1733" s="16">
        <v>16.794711</v>
      </c>
      <c r="K1733" s="16">
        <v>-96.462849000000006</v>
      </c>
      <c r="L1733" s="16" t="str">
        <f>HYPERLINK("https://maps.google.com/?q=16.794711,-96.462849", "🔗 Ver Mapa")</f>
        <v>🔗 Ver Mapa</v>
      </c>
    </row>
    <row r="1734" spans="1:12" ht="58" x14ac:dyDescent="0.35">
      <c r="A1734" s="6" t="s">
        <v>7</v>
      </c>
      <c r="B1734" s="6" t="s">
        <v>20</v>
      </c>
      <c r="C1734" s="6" t="s">
        <v>1286</v>
      </c>
      <c r="D1734" s="11" t="s">
        <v>219</v>
      </c>
      <c r="E1734" s="17" t="s">
        <v>75</v>
      </c>
      <c r="F1734" s="17" t="s">
        <v>84</v>
      </c>
      <c r="G1734" s="11" t="s">
        <v>98</v>
      </c>
      <c r="H1734" s="11" t="s">
        <v>1287</v>
      </c>
      <c r="I1734" s="17" t="s">
        <v>138</v>
      </c>
      <c r="J1734" s="17">
        <v>16.795017000000001</v>
      </c>
      <c r="K1734" s="17">
        <v>-96.462770000000006</v>
      </c>
      <c r="L1734" s="17" t="str">
        <f>HYPERLINK("https://maps.google.com/?q=16.795017,-96.46277", "🔗 Ver Mapa")</f>
        <v>🔗 Ver Mapa</v>
      </c>
    </row>
    <row r="1735" spans="1:12" ht="58" x14ac:dyDescent="0.35">
      <c r="A1735" s="5" t="s">
        <v>7</v>
      </c>
      <c r="B1735" s="5" t="s">
        <v>20</v>
      </c>
      <c r="C1735" s="5" t="s">
        <v>1286</v>
      </c>
      <c r="D1735" s="8" t="s">
        <v>219</v>
      </c>
      <c r="E1735" s="16" t="s">
        <v>75</v>
      </c>
      <c r="F1735" s="16" t="s">
        <v>84</v>
      </c>
      <c r="G1735" s="8" t="s">
        <v>98</v>
      </c>
      <c r="H1735" s="8" t="s">
        <v>1287</v>
      </c>
      <c r="I1735" s="16" t="s">
        <v>138</v>
      </c>
      <c r="J1735" s="16">
        <v>16.795449000000001</v>
      </c>
      <c r="K1735" s="16">
        <v>-96.462632999999997</v>
      </c>
      <c r="L1735" s="16" t="str">
        <f>HYPERLINK("https://maps.google.com/?q=16.795449,-96.462633", "🔗 Ver Mapa")</f>
        <v>🔗 Ver Mapa</v>
      </c>
    </row>
    <row r="1736" spans="1:12" ht="58" x14ac:dyDescent="0.35">
      <c r="A1736" s="6" t="s">
        <v>7</v>
      </c>
      <c r="B1736" s="6" t="s">
        <v>20</v>
      </c>
      <c r="C1736" s="6" t="s">
        <v>1286</v>
      </c>
      <c r="D1736" s="11" t="s">
        <v>219</v>
      </c>
      <c r="E1736" s="17" t="s">
        <v>75</v>
      </c>
      <c r="F1736" s="17" t="s">
        <v>84</v>
      </c>
      <c r="G1736" s="11" t="s">
        <v>98</v>
      </c>
      <c r="H1736" s="11" t="s">
        <v>1287</v>
      </c>
      <c r="I1736" s="17" t="s">
        <v>138</v>
      </c>
      <c r="J1736" s="17">
        <v>16.795871000000002</v>
      </c>
      <c r="K1736" s="17">
        <v>-96.462457999999998</v>
      </c>
      <c r="L1736" s="17" t="str">
        <f>HYPERLINK("https://maps.google.com/?q=16.795871,-96.462458", "🔗 Ver Mapa")</f>
        <v>🔗 Ver Mapa</v>
      </c>
    </row>
    <row r="1737" spans="1:12" ht="58" x14ac:dyDescent="0.35">
      <c r="A1737" s="5" t="s">
        <v>7</v>
      </c>
      <c r="B1737" s="5" t="s">
        <v>20</v>
      </c>
      <c r="C1737" s="5" t="s">
        <v>1286</v>
      </c>
      <c r="D1737" s="8" t="s">
        <v>219</v>
      </c>
      <c r="E1737" s="16" t="s">
        <v>75</v>
      </c>
      <c r="F1737" s="16" t="s">
        <v>84</v>
      </c>
      <c r="G1737" s="8" t="s">
        <v>98</v>
      </c>
      <c r="H1737" s="8" t="s">
        <v>1287</v>
      </c>
      <c r="I1737" s="16" t="s">
        <v>138</v>
      </c>
      <c r="J1737" s="16">
        <v>16.796219000000001</v>
      </c>
      <c r="K1737" s="16">
        <v>-96.462079000000003</v>
      </c>
      <c r="L1737" s="16" t="str">
        <f>HYPERLINK("https://maps.google.com/?q=16.796219,-96.462079", "🔗 Ver Mapa")</f>
        <v>🔗 Ver Mapa</v>
      </c>
    </row>
    <row r="1738" spans="1:12" ht="58" x14ac:dyDescent="0.35">
      <c r="A1738" s="6" t="s">
        <v>7</v>
      </c>
      <c r="B1738" s="6" t="s">
        <v>20</v>
      </c>
      <c r="C1738" s="6" t="s">
        <v>1286</v>
      </c>
      <c r="D1738" s="11" t="s">
        <v>219</v>
      </c>
      <c r="E1738" s="17" t="s">
        <v>75</v>
      </c>
      <c r="F1738" s="17" t="s">
        <v>84</v>
      </c>
      <c r="G1738" s="11" t="s">
        <v>98</v>
      </c>
      <c r="H1738" s="11" t="s">
        <v>1287</v>
      </c>
      <c r="I1738" s="17" t="s">
        <v>138</v>
      </c>
      <c r="J1738" s="17">
        <v>16.796603000000001</v>
      </c>
      <c r="K1738" s="17">
        <v>-96.461754999999997</v>
      </c>
      <c r="L1738" s="17" t="str">
        <f>HYPERLINK("https://maps.google.com/?q=16.796603,-96.461755", "🔗 Ver Mapa")</f>
        <v>🔗 Ver Mapa</v>
      </c>
    </row>
    <row r="1739" spans="1:12" ht="58" x14ac:dyDescent="0.35">
      <c r="A1739" s="5" t="s">
        <v>7</v>
      </c>
      <c r="B1739" s="5" t="s">
        <v>20</v>
      </c>
      <c r="C1739" s="5" t="s">
        <v>1286</v>
      </c>
      <c r="D1739" s="8" t="s">
        <v>219</v>
      </c>
      <c r="E1739" s="16" t="s">
        <v>75</v>
      </c>
      <c r="F1739" s="16" t="s">
        <v>84</v>
      </c>
      <c r="G1739" s="8" t="s">
        <v>98</v>
      </c>
      <c r="H1739" s="8" t="s">
        <v>1287</v>
      </c>
      <c r="I1739" s="16" t="s">
        <v>138</v>
      </c>
      <c r="J1739" s="16">
        <v>16.796727000000001</v>
      </c>
      <c r="K1739" s="16">
        <v>-96.453558000000001</v>
      </c>
      <c r="L1739" s="16" t="str">
        <f>HYPERLINK("https://maps.google.com/?q=16.796727,-96.453558", "🔗 Ver Mapa")</f>
        <v>🔗 Ver Mapa</v>
      </c>
    </row>
    <row r="1740" spans="1:12" ht="58" x14ac:dyDescent="0.35">
      <c r="A1740" s="6" t="s">
        <v>7</v>
      </c>
      <c r="B1740" s="6" t="s">
        <v>20</v>
      </c>
      <c r="C1740" s="6" t="s">
        <v>1286</v>
      </c>
      <c r="D1740" s="11" t="s">
        <v>219</v>
      </c>
      <c r="E1740" s="17" t="s">
        <v>75</v>
      </c>
      <c r="F1740" s="17" t="s">
        <v>84</v>
      </c>
      <c r="G1740" s="11" t="s">
        <v>98</v>
      </c>
      <c r="H1740" s="11" t="s">
        <v>1287</v>
      </c>
      <c r="I1740" s="17" t="s">
        <v>138</v>
      </c>
      <c r="J1740" s="17">
        <v>16.796887000000002</v>
      </c>
      <c r="K1740" s="17">
        <v>-96.454042999999999</v>
      </c>
      <c r="L1740" s="17" t="str">
        <f>HYPERLINK("https://maps.google.com/?q=16.796887,-96.454043", "🔗 Ver Mapa")</f>
        <v>🔗 Ver Mapa</v>
      </c>
    </row>
    <row r="1741" spans="1:12" ht="58" x14ac:dyDescent="0.35">
      <c r="A1741" s="5" t="s">
        <v>7</v>
      </c>
      <c r="B1741" s="5" t="s">
        <v>20</v>
      </c>
      <c r="C1741" s="5" t="s">
        <v>1286</v>
      </c>
      <c r="D1741" s="8" t="s">
        <v>219</v>
      </c>
      <c r="E1741" s="16" t="s">
        <v>75</v>
      </c>
      <c r="F1741" s="16" t="s">
        <v>84</v>
      </c>
      <c r="G1741" s="8" t="s">
        <v>98</v>
      </c>
      <c r="H1741" s="8" t="s">
        <v>1287</v>
      </c>
      <c r="I1741" s="16" t="s">
        <v>138</v>
      </c>
      <c r="J1741" s="16">
        <v>16.796893000000001</v>
      </c>
      <c r="K1741" s="16">
        <v>-96.454503000000003</v>
      </c>
      <c r="L1741" s="16" t="str">
        <f>HYPERLINK("https://maps.google.com/?q=16.796893,-96.454503", "🔗 Ver Mapa")</f>
        <v>🔗 Ver Mapa</v>
      </c>
    </row>
    <row r="1742" spans="1:12" ht="58" x14ac:dyDescent="0.35">
      <c r="A1742" s="6" t="s">
        <v>7</v>
      </c>
      <c r="B1742" s="6" t="s">
        <v>20</v>
      </c>
      <c r="C1742" s="6" t="s">
        <v>1286</v>
      </c>
      <c r="D1742" s="11" t="s">
        <v>219</v>
      </c>
      <c r="E1742" s="17" t="s">
        <v>75</v>
      </c>
      <c r="F1742" s="17" t="s">
        <v>84</v>
      </c>
      <c r="G1742" s="11" t="s">
        <v>98</v>
      </c>
      <c r="H1742" s="11" t="s">
        <v>1287</v>
      </c>
      <c r="I1742" s="17" t="s">
        <v>138</v>
      </c>
      <c r="J1742" s="17">
        <v>16.796959999999999</v>
      </c>
      <c r="K1742" s="17">
        <v>-96.461403000000004</v>
      </c>
      <c r="L1742" s="17" t="str">
        <f>HYPERLINK("https://maps.google.com/?q=16.79696,-96.461403", "🔗 Ver Mapa")</f>
        <v>🔗 Ver Mapa</v>
      </c>
    </row>
    <row r="1743" spans="1:12" ht="58" x14ac:dyDescent="0.35">
      <c r="A1743" s="5" t="s">
        <v>7</v>
      </c>
      <c r="B1743" s="5" t="s">
        <v>20</v>
      </c>
      <c r="C1743" s="5" t="s">
        <v>1286</v>
      </c>
      <c r="D1743" s="8" t="s">
        <v>219</v>
      </c>
      <c r="E1743" s="16" t="s">
        <v>75</v>
      </c>
      <c r="F1743" s="16" t="s">
        <v>84</v>
      </c>
      <c r="G1743" s="8" t="s">
        <v>98</v>
      </c>
      <c r="H1743" s="8" t="s">
        <v>1287</v>
      </c>
      <c r="I1743" s="16" t="s">
        <v>138</v>
      </c>
      <c r="J1743" s="16">
        <v>16.797080000000001</v>
      </c>
      <c r="K1743" s="16">
        <v>-96.460144999999997</v>
      </c>
      <c r="L1743" s="16" t="str">
        <f>HYPERLINK("https://maps.google.com/?q=16.79708,-96.460145", "🔗 Ver Mapa")</f>
        <v>🔗 Ver Mapa</v>
      </c>
    </row>
    <row r="1744" spans="1:12" ht="58" x14ac:dyDescent="0.35">
      <c r="A1744" s="6" t="s">
        <v>7</v>
      </c>
      <c r="B1744" s="6" t="s">
        <v>20</v>
      </c>
      <c r="C1744" s="6" t="s">
        <v>1286</v>
      </c>
      <c r="D1744" s="11" t="s">
        <v>219</v>
      </c>
      <c r="E1744" s="17" t="s">
        <v>75</v>
      </c>
      <c r="F1744" s="17" t="s">
        <v>84</v>
      </c>
      <c r="G1744" s="11" t="s">
        <v>98</v>
      </c>
      <c r="H1744" s="11" t="s">
        <v>1287</v>
      </c>
      <c r="I1744" s="17" t="s">
        <v>138</v>
      </c>
      <c r="J1744" s="17">
        <v>16.797091999999999</v>
      </c>
      <c r="K1744" s="17">
        <v>-96.459637999999998</v>
      </c>
      <c r="L1744" s="17" t="str">
        <f>HYPERLINK("https://maps.google.com/?q=16.797092,-96.459638", "🔗 Ver Mapa")</f>
        <v>🔗 Ver Mapa</v>
      </c>
    </row>
    <row r="1745" spans="1:12" ht="58" x14ac:dyDescent="0.35">
      <c r="A1745" s="5" t="s">
        <v>7</v>
      </c>
      <c r="B1745" s="5" t="s">
        <v>20</v>
      </c>
      <c r="C1745" s="5" t="s">
        <v>1286</v>
      </c>
      <c r="D1745" s="8" t="s">
        <v>219</v>
      </c>
      <c r="E1745" s="16" t="s">
        <v>75</v>
      </c>
      <c r="F1745" s="16" t="s">
        <v>84</v>
      </c>
      <c r="G1745" s="8" t="s">
        <v>98</v>
      </c>
      <c r="H1745" s="8" t="s">
        <v>1287</v>
      </c>
      <c r="I1745" s="16" t="s">
        <v>138</v>
      </c>
      <c r="J1745" s="16">
        <v>16.797094999999999</v>
      </c>
      <c r="K1745" s="16">
        <v>-96.460622999999998</v>
      </c>
      <c r="L1745" s="16" t="str">
        <f>HYPERLINK("https://maps.google.com/?q=16.797095,-96.460623", "🔗 Ver Mapa")</f>
        <v>🔗 Ver Mapa</v>
      </c>
    </row>
    <row r="1746" spans="1:12" ht="58" x14ac:dyDescent="0.35">
      <c r="A1746" s="6" t="s">
        <v>7</v>
      </c>
      <c r="B1746" s="6" t="s">
        <v>20</v>
      </c>
      <c r="C1746" s="6" t="s">
        <v>1286</v>
      </c>
      <c r="D1746" s="11" t="s">
        <v>219</v>
      </c>
      <c r="E1746" s="17" t="s">
        <v>75</v>
      </c>
      <c r="F1746" s="17" t="s">
        <v>84</v>
      </c>
      <c r="G1746" s="11" t="s">
        <v>98</v>
      </c>
      <c r="H1746" s="11" t="s">
        <v>1287</v>
      </c>
      <c r="I1746" s="17" t="s">
        <v>138</v>
      </c>
      <c r="J1746" s="17">
        <v>16.797118999999999</v>
      </c>
      <c r="K1746" s="17">
        <v>-96.461110000000005</v>
      </c>
      <c r="L1746" s="17" t="str">
        <f>HYPERLINK("https://maps.google.com/?q=16.797119,-96.46111", "🔗 Ver Mapa")</f>
        <v>🔗 Ver Mapa</v>
      </c>
    </row>
    <row r="1747" spans="1:12" ht="58" x14ac:dyDescent="0.35">
      <c r="A1747" s="5" t="s">
        <v>7</v>
      </c>
      <c r="B1747" s="5" t="s">
        <v>20</v>
      </c>
      <c r="C1747" s="5" t="s">
        <v>1286</v>
      </c>
      <c r="D1747" s="8" t="s">
        <v>219</v>
      </c>
      <c r="E1747" s="16" t="s">
        <v>75</v>
      </c>
      <c r="F1747" s="16" t="s">
        <v>84</v>
      </c>
      <c r="G1747" s="8" t="s">
        <v>98</v>
      </c>
      <c r="H1747" s="8" t="s">
        <v>1287</v>
      </c>
      <c r="I1747" s="16" t="s">
        <v>138</v>
      </c>
      <c r="J1747" s="16">
        <v>16.799008000000001</v>
      </c>
      <c r="K1747" s="16">
        <v>-96.455403000000004</v>
      </c>
      <c r="L1747" s="16" t="str">
        <f>HYPERLINK("https://maps.google.com/?q=16.799008,-96.455403", "🔗 Ver Mapa")</f>
        <v>🔗 Ver Mapa</v>
      </c>
    </row>
    <row r="1748" spans="1:12" ht="58" x14ac:dyDescent="0.35">
      <c r="A1748" s="6" t="s">
        <v>7</v>
      </c>
      <c r="B1748" s="6" t="s">
        <v>20</v>
      </c>
      <c r="C1748" s="6" t="s">
        <v>1286</v>
      </c>
      <c r="D1748" s="11" t="s">
        <v>219</v>
      </c>
      <c r="E1748" s="17" t="s">
        <v>75</v>
      </c>
      <c r="F1748" s="17" t="s">
        <v>84</v>
      </c>
      <c r="G1748" s="11" t="s">
        <v>98</v>
      </c>
      <c r="H1748" s="11" t="s">
        <v>1287</v>
      </c>
      <c r="I1748" s="17" t="s">
        <v>138</v>
      </c>
      <c r="J1748" s="17">
        <v>16.799320999999999</v>
      </c>
      <c r="K1748" s="17">
        <v>-96.460977999999997</v>
      </c>
      <c r="L1748" s="17" t="str">
        <f>HYPERLINK("https://maps.google.com/?q=16.799321,-96.460978", "🔗 Ver Mapa")</f>
        <v>🔗 Ver Mapa</v>
      </c>
    </row>
    <row r="1749" spans="1:12" ht="58" x14ac:dyDescent="0.35">
      <c r="A1749" s="5" t="s">
        <v>7</v>
      </c>
      <c r="B1749" s="5" t="s">
        <v>20</v>
      </c>
      <c r="C1749" s="5" t="s">
        <v>1286</v>
      </c>
      <c r="D1749" s="8" t="s">
        <v>219</v>
      </c>
      <c r="E1749" s="16" t="s">
        <v>75</v>
      </c>
      <c r="F1749" s="16" t="s">
        <v>84</v>
      </c>
      <c r="G1749" s="8" t="s">
        <v>98</v>
      </c>
      <c r="H1749" s="8" t="s">
        <v>1287</v>
      </c>
      <c r="I1749" s="16" t="s">
        <v>138</v>
      </c>
      <c r="J1749" s="16">
        <v>16.799427999999999</v>
      </c>
      <c r="K1749" s="16">
        <v>-96.455040999999994</v>
      </c>
      <c r="L1749" s="16" t="str">
        <f>HYPERLINK("https://maps.google.com/?q=16.799428,-96.455041", "🔗 Ver Mapa")</f>
        <v>🔗 Ver Mapa</v>
      </c>
    </row>
    <row r="1750" spans="1:12" ht="58" x14ac:dyDescent="0.35">
      <c r="A1750" s="6" t="s">
        <v>7</v>
      </c>
      <c r="B1750" s="6" t="s">
        <v>20</v>
      </c>
      <c r="C1750" s="6" t="s">
        <v>1286</v>
      </c>
      <c r="D1750" s="11" t="s">
        <v>219</v>
      </c>
      <c r="E1750" s="17" t="s">
        <v>75</v>
      </c>
      <c r="F1750" s="17" t="s">
        <v>84</v>
      </c>
      <c r="G1750" s="11" t="s">
        <v>98</v>
      </c>
      <c r="H1750" s="11" t="s">
        <v>1287</v>
      </c>
      <c r="I1750" s="17" t="s">
        <v>138</v>
      </c>
      <c r="J1750" s="17">
        <v>16.799726</v>
      </c>
      <c r="K1750" s="17">
        <v>-96.455017999999995</v>
      </c>
      <c r="L1750" s="17" t="str">
        <f>HYPERLINK("https://maps.google.com/?q=16.799726,-96.455018", "🔗 Ver Mapa")</f>
        <v>🔗 Ver Mapa</v>
      </c>
    </row>
    <row r="1751" spans="1:12" ht="58" x14ac:dyDescent="0.35">
      <c r="A1751" s="5" t="s">
        <v>7</v>
      </c>
      <c r="B1751" s="5" t="s">
        <v>20</v>
      </c>
      <c r="C1751" s="5" t="s">
        <v>1286</v>
      </c>
      <c r="D1751" s="8" t="s">
        <v>219</v>
      </c>
      <c r="E1751" s="16" t="s">
        <v>75</v>
      </c>
      <c r="F1751" s="16" t="s">
        <v>84</v>
      </c>
      <c r="G1751" s="8" t="s">
        <v>98</v>
      </c>
      <c r="H1751" s="8" t="s">
        <v>1287</v>
      </c>
      <c r="I1751" s="16" t="s">
        <v>138</v>
      </c>
      <c r="J1751" s="16">
        <v>16.799817999999998</v>
      </c>
      <c r="K1751" s="16">
        <v>-96.460952000000006</v>
      </c>
      <c r="L1751" s="16" t="str">
        <f>HYPERLINK("https://maps.google.com/?q=16.799818,-96.460952", "🔗 Ver Mapa")</f>
        <v>🔗 Ver Mapa</v>
      </c>
    </row>
    <row r="1752" spans="1:12" ht="58" x14ac:dyDescent="0.35">
      <c r="A1752" s="6" t="s">
        <v>7</v>
      </c>
      <c r="B1752" s="6" t="s">
        <v>20</v>
      </c>
      <c r="C1752" s="6" t="s">
        <v>1286</v>
      </c>
      <c r="D1752" s="11" t="s">
        <v>219</v>
      </c>
      <c r="E1752" s="17" t="s">
        <v>75</v>
      </c>
      <c r="F1752" s="17" t="s">
        <v>84</v>
      </c>
      <c r="G1752" s="11" t="s">
        <v>98</v>
      </c>
      <c r="H1752" s="11" t="s">
        <v>1287</v>
      </c>
      <c r="I1752" s="17" t="s">
        <v>138</v>
      </c>
      <c r="J1752" s="17">
        <v>16.799903</v>
      </c>
      <c r="K1752" s="17">
        <v>-96.464232999999993</v>
      </c>
      <c r="L1752" s="17" t="str">
        <f>HYPERLINK("https://maps.google.com/?q=16.799903,-96.464233", "🔗 Ver Mapa")</f>
        <v>🔗 Ver Mapa</v>
      </c>
    </row>
    <row r="1753" spans="1:12" ht="58" x14ac:dyDescent="0.35">
      <c r="A1753" s="5" t="s">
        <v>7</v>
      </c>
      <c r="B1753" s="5" t="s">
        <v>20</v>
      </c>
      <c r="C1753" s="5" t="s">
        <v>1286</v>
      </c>
      <c r="D1753" s="8" t="s">
        <v>219</v>
      </c>
      <c r="E1753" s="16" t="s">
        <v>75</v>
      </c>
      <c r="F1753" s="16" t="s">
        <v>84</v>
      </c>
      <c r="G1753" s="8" t="s">
        <v>98</v>
      </c>
      <c r="H1753" s="8" t="s">
        <v>1287</v>
      </c>
      <c r="I1753" s="16" t="s">
        <v>138</v>
      </c>
      <c r="J1753" s="16">
        <v>16.800080000000001</v>
      </c>
      <c r="K1753" s="16">
        <v>-96.455173000000002</v>
      </c>
      <c r="L1753" s="16" t="str">
        <f>HYPERLINK("https://maps.google.com/?q=16.80008,-96.455173", "🔗 Ver Mapa")</f>
        <v>🔗 Ver Mapa</v>
      </c>
    </row>
    <row r="1754" spans="1:12" ht="58" x14ac:dyDescent="0.35">
      <c r="A1754" s="6" t="s">
        <v>7</v>
      </c>
      <c r="B1754" s="6" t="s">
        <v>20</v>
      </c>
      <c r="C1754" s="6" t="s">
        <v>1286</v>
      </c>
      <c r="D1754" s="11" t="s">
        <v>219</v>
      </c>
      <c r="E1754" s="17" t="s">
        <v>75</v>
      </c>
      <c r="F1754" s="17" t="s">
        <v>84</v>
      </c>
      <c r="G1754" s="11" t="s">
        <v>98</v>
      </c>
      <c r="H1754" s="11" t="s">
        <v>1287</v>
      </c>
      <c r="I1754" s="17" t="s">
        <v>138</v>
      </c>
      <c r="J1754" s="17">
        <v>16.800318000000001</v>
      </c>
      <c r="K1754" s="17">
        <v>-96.464143000000007</v>
      </c>
      <c r="L1754" s="17" t="str">
        <f>HYPERLINK("https://maps.google.com/?q=16.800318,-96.464143", "🔗 Ver Mapa")</f>
        <v>🔗 Ver Mapa</v>
      </c>
    </row>
    <row r="1755" spans="1:12" ht="58" x14ac:dyDescent="0.35">
      <c r="A1755" s="5" t="s">
        <v>7</v>
      </c>
      <c r="B1755" s="5" t="s">
        <v>20</v>
      </c>
      <c r="C1755" s="5" t="s">
        <v>1286</v>
      </c>
      <c r="D1755" s="8" t="s">
        <v>219</v>
      </c>
      <c r="E1755" s="16" t="s">
        <v>75</v>
      </c>
      <c r="F1755" s="16" t="s">
        <v>84</v>
      </c>
      <c r="G1755" s="8" t="s">
        <v>98</v>
      </c>
      <c r="H1755" s="8" t="s">
        <v>1287</v>
      </c>
      <c r="I1755" s="16" t="s">
        <v>138</v>
      </c>
      <c r="J1755" s="16">
        <v>16.800339999999998</v>
      </c>
      <c r="K1755" s="16">
        <v>-96.463721000000007</v>
      </c>
      <c r="L1755" s="16" t="str">
        <f>HYPERLINK("https://maps.google.com/?q=16.80034,-96.463721", "🔗 Ver Mapa")</f>
        <v>🔗 Ver Mapa</v>
      </c>
    </row>
    <row r="1756" spans="1:12" ht="58" x14ac:dyDescent="0.35">
      <c r="A1756" s="6" t="s">
        <v>7</v>
      </c>
      <c r="B1756" s="6" t="s">
        <v>20</v>
      </c>
      <c r="C1756" s="6" t="s">
        <v>1286</v>
      </c>
      <c r="D1756" s="11" t="s">
        <v>219</v>
      </c>
      <c r="E1756" s="17" t="s">
        <v>75</v>
      </c>
      <c r="F1756" s="17" t="s">
        <v>84</v>
      </c>
      <c r="G1756" s="11" t="s">
        <v>98</v>
      </c>
      <c r="H1756" s="11" t="s">
        <v>1287</v>
      </c>
      <c r="I1756" s="17" t="s">
        <v>138</v>
      </c>
      <c r="J1756" s="17">
        <v>16.800595999999999</v>
      </c>
      <c r="K1756" s="17">
        <v>-96.455269000000001</v>
      </c>
      <c r="L1756" s="17" t="str">
        <f>HYPERLINK("https://maps.google.com/?q=16.800596,-96.455269", "🔗 Ver Mapa")</f>
        <v>🔗 Ver Mapa</v>
      </c>
    </row>
    <row r="1757" spans="1:12" ht="58" x14ac:dyDescent="0.35">
      <c r="A1757" s="5" t="s">
        <v>7</v>
      </c>
      <c r="B1757" s="5" t="s">
        <v>20</v>
      </c>
      <c r="C1757" s="5" t="s">
        <v>1286</v>
      </c>
      <c r="D1757" s="8" t="s">
        <v>219</v>
      </c>
      <c r="E1757" s="16" t="s">
        <v>75</v>
      </c>
      <c r="F1757" s="16" t="s">
        <v>84</v>
      </c>
      <c r="G1757" s="8" t="s">
        <v>98</v>
      </c>
      <c r="H1757" s="8" t="s">
        <v>1287</v>
      </c>
      <c r="I1757" s="16" t="s">
        <v>138</v>
      </c>
      <c r="J1757" s="16">
        <v>16.800905</v>
      </c>
      <c r="K1757" s="16">
        <v>-96.455404999999999</v>
      </c>
      <c r="L1757" s="16" t="str">
        <f>HYPERLINK("https://maps.google.com/?q=16.800905,-96.455405", "🔗 Ver Mapa")</f>
        <v>🔗 Ver Mapa</v>
      </c>
    </row>
    <row r="1758" spans="1:12" ht="58" x14ac:dyDescent="0.35">
      <c r="A1758" s="6" t="s">
        <v>7</v>
      </c>
      <c r="B1758" s="6" t="s">
        <v>20</v>
      </c>
      <c r="C1758" s="6" t="s">
        <v>1286</v>
      </c>
      <c r="D1758" s="11" t="s">
        <v>219</v>
      </c>
      <c r="E1758" s="17" t="s">
        <v>75</v>
      </c>
      <c r="F1758" s="17" t="s">
        <v>84</v>
      </c>
      <c r="G1758" s="11" t="s">
        <v>98</v>
      </c>
      <c r="H1758" s="11" t="s">
        <v>1287</v>
      </c>
      <c r="I1758" s="17" t="s">
        <v>138</v>
      </c>
      <c r="J1758" s="17">
        <v>16.801205</v>
      </c>
      <c r="K1758" s="17">
        <v>-96.455609999999993</v>
      </c>
      <c r="L1758" s="17" t="str">
        <f>HYPERLINK("https://maps.google.com/?q=16.801205,-96.45561", "🔗 Ver Mapa")</f>
        <v>🔗 Ver Mapa</v>
      </c>
    </row>
    <row r="1759" spans="1:12" ht="58" x14ac:dyDescent="0.35">
      <c r="A1759" s="5" t="s">
        <v>7</v>
      </c>
      <c r="B1759" s="5" t="s">
        <v>20</v>
      </c>
      <c r="C1759" s="5" t="s">
        <v>1286</v>
      </c>
      <c r="D1759" s="8" t="s">
        <v>219</v>
      </c>
      <c r="E1759" s="16" t="s">
        <v>75</v>
      </c>
      <c r="F1759" s="16" t="s">
        <v>84</v>
      </c>
      <c r="G1759" s="8" t="s">
        <v>98</v>
      </c>
      <c r="H1759" s="8" t="s">
        <v>1287</v>
      </c>
      <c r="I1759" s="16" t="s">
        <v>138</v>
      </c>
      <c r="J1759" s="16">
        <v>16.801207999999999</v>
      </c>
      <c r="K1759" s="16">
        <v>-96.455044999999998</v>
      </c>
      <c r="L1759" s="16" t="str">
        <f>HYPERLINK("https://maps.google.com/?q=16.801208,-96.455045", "🔗 Ver Mapa")</f>
        <v>🔗 Ver Mapa</v>
      </c>
    </row>
    <row r="1760" spans="1:12" ht="58" x14ac:dyDescent="0.35">
      <c r="A1760" s="6" t="s">
        <v>7</v>
      </c>
      <c r="B1760" s="6" t="s">
        <v>20</v>
      </c>
      <c r="C1760" s="6" t="s">
        <v>1286</v>
      </c>
      <c r="D1760" s="11" t="s">
        <v>219</v>
      </c>
      <c r="E1760" s="17" t="s">
        <v>75</v>
      </c>
      <c r="F1760" s="17" t="s">
        <v>84</v>
      </c>
      <c r="G1760" s="11" t="s">
        <v>98</v>
      </c>
      <c r="H1760" s="11" t="s">
        <v>1287</v>
      </c>
      <c r="I1760" s="17" t="s">
        <v>138</v>
      </c>
      <c r="J1760" s="17">
        <v>16.801219</v>
      </c>
      <c r="K1760" s="17">
        <v>-96.454528999999994</v>
      </c>
      <c r="L1760" s="17" t="str">
        <f>HYPERLINK("https://maps.google.com/?q=16.801219,-96.454529", "🔗 Ver Mapa")</f>
        <v>🔗 Ver Mapa</v>
      </c>
    </row>
    <row r="1761" spans="1:12" ht="58" x14ac:dyDescent="0.35">
      <c r="A1761" s="5" t="s">
        <v>7</v>
      </c>
      <c r="B1761" s="5" t="s">
        <v>20</v>
      </c>
      <c r="C1761" s="5" t="s">
        <v>1286</v>
      </c>
      <c r="D1761" s="8" t="s">
        <v>219</v>
      </c>
      <c r="E1761" s="16" t="s">
        <v>75</v>
      </c>
      <c r="F1761" s="16" t="s">
        <v>84</v>
      </c>
      <c r="G1761" s="8" t="s">
        <v>98</v>
      </c>
      <c r="H1761" s="8" t="s">
        <v>1287</v>
      </c>
      <c r="I1761" s="16" t="s">
        <v>138</v>
      </c>
      <c r="J1761" s="16">
        <v>16.801234999999998</v>
      </c>
      <c r="K1761" s="16">
        <v>-96.453591000000003</v>
      </c>
      <c r="L1761" s="16" t="str">
        <f>HYPERLINK("https://maps.google.com/?q=16.801235,-96.453591", "🔗 Ver Mapa")</f>
        <v>🔗 Ver Mapa</v>
      </c>
    </row>
    <row r="1762" spans="1:12" ht="58" x14ac:dyDescent="0.35">
      <c r="A1762" s="6" t="s">
        <v>7</v>
      </c>
      <c r="B1762" s="6" t="s">
        <v>20</v>
      </c>
      <c r="C1762" s="6" t="s">
        <v>1286</v>
      </c>
      <c r="D1762" s="11" t="s">
        <v>219</v>
      </c>
      <c r="E1762" s="17" t="s">
        <v>75</v>
      </c>
      <c r="F1762" s="17" t="s">
        <v>84</v>
      </c>
      <c r="G1762" s="11" t="s">
        <v>98</v>
      </c>
      <c r="H1762" s="11" t="s">
        <v>1287</v>
      </c>
      <c r="I1762" s="17" t="s">
        <v>138</v>
      </c>
      <c r="J1762" s="17">
        <v>16.801241000000001</v>
      </c>
      <c r="K1762" s="17">
        <v>-96.454069000000004</v>
      </c>
      <c r="L1762" s="17" t="str">
        <f>HYPERLINK("https://maps.google.com/?q=16.801241,-96.454069", "🔗 Ver Mapa")</f>
        <v>🔗 Ver Mapa</v>
      </c>
    </row>
    <row r="1763" spans="1:12" ht="58" x14ac:dyDescent="0.35">
      <c r="A1763" s="5" t="s">
        <v>7</v>
      </c>
      <c r="B1763" s="5" t="s">
        <v>20</v>
      </c>
      <c r="C1763" s="5" t="s">
        <v>1286</v>
      </c>
      <c r="D1763" s="8" t="s">
        <v>219</v>
      </c>
      <c r="E1763" s="16" t="s">
        <v>75</v>
      </c>
      <c r="F1763" s="16" t="s">
        <v>84</v>
      </c>
      <c r="G1763" s="8" t="s">
        <v>98</v>
      </c>
      <c r="H1763" s="8" t="s">
        <v>1287</v>
      </c>
      <c r="I1763" s="16" t="s">
        <v>138</v>
      </c>
      <c r="J1763" s="16">
        <v>16.801247</v>
      </c>
      <c r="K1763" s="16">
        <v>-96.453121999999993</v>
      </c>
      <c r="L1763" s="16" t="str">
        <f>HYPERLINK("https://maps.google.com/?q=16.801247,-96.453122", "🔗 Ver Mapa")</f>
        <v>🔗 Ver Mapa</v>
      </c>
    </row>
    <row r="1764" spans="1:12" ht="58" x14ac:dyDescent="0.35">
      <c r="A1764" s="6" t="s">
        <v>7</v>
      </c>
      <c r="B1764" s="6" t="s">
        <v>20</v>
      </c>
      <c r="C1764" s="6" t="s">
        <v>1286</v>
      </c>
      <c r="D1764" s="11" t="s">
        <v>219</v>
      </c>
      <c r="E1764" s="17" t="s">
        <v>75</v>
      </c>
      <c r="F1764" s="17" t="s">
        <v>84</v>
      </c>
      <c r="G1764" s="11" t="s">
        <v>98</v>
      </c>
      <c r="H1764" s="11" t="s">
        <v>1287</v>
      </c>
      <c r="I1764" s="17" t="s">
        <v>138</v>
      </c>
      <c r="J1764" s="17">
        <v>16.801855</v>
      </c>
      <c r="K1764" s="17">
        <v>-96.452627000000007</v>
      </c>
      <c r="L1764" s="17" t="str">
        <f>HYPERLINK("https://maps.google.com/?q=16.801855,-96.452627", "🔗 Ver Mapa")</f>
        <v>🔗 Ver Mapa</v>
      </c>
    </row>
    <row r="1765" spans="1:12" ht="58" x14ac:dyDescent="0.35">
      <c r="A1765" s="5" t="s">
        <v>7</v>
      </c>
      <c r="B1765" s="5" t="s">
        <v>20</v>
      </c>
      <c r="C1765" s="5" t="s">
        <v>1286</v>
      </c>
      <c r="D1765" s="8" t="s">
        <v>219</v>
      </c>
      <c r="E1765" s="16" t="s">
        <v>75</v>
      </c>
      <c r="F1765" s="16" t="s">
        <v>84</v>
      </c>
      <c r="G1765" s="8" t="s">
        <v>98</v>
      </c>
      <c r="H1765" s="8" t="s">
        <v>1287</v>
      </c>
      <c r="I1765" s="16" t="s">
        <v>138</v>
      </c>
      <c r="J1765" s="16">
        <v>16.802299000000001</v>
      </c>
      <c r="K1765" s="16">
        <v>-96.452742999999998</v>
      </c>
      <c r="L1765" s="16" t="str">
        <f>HYPERLINK("https://maps.google.com/?q=16.802299,-96.452743", "🔗 Ver Mapa")</f>
        <v>🔗 Ver Mapa</v>
      </c>
    </row>
    <row r="1766" spans="1:12" ht="58" x14ac:dyDescent="0.35">
      <c r="A1766" s="6" t="s">
        <v>7</v>
      </c>
      <c r="B1766" s="6" t="s">
        <v>20</v>
      </c>
      <c r="C1766" s="6" t="s">
        <v>1286</v>
      </c>
      <c r="D1766" s="11" t="s">
        <v>219</v>
      </c>
      <c r="E1766" s="17" t="s">
        <v>75</v>
      </c>
      <c r="F1766" s="17" t="s">
        <v>84</v>
      </c>
      <c r="G1766" s="11" t="s">
        <v>98</v>
      </c>
      <c r="H1766" s="11" t="s">
        <v>1287</v>
      </c>
      <c r="I1766" s="17" t="s">
        <v>138</v>
      </c>
      <c r="J1766" s="17">
        <v>16.802734000000001</v>
      </c>
      <c r="K1766" s="17">
        <v>-96.452859000000004</v>
      </c>
      <c r="L1766" s="17" t="str">
        <f>HYPERLINK("https://maps.google.com/?q=16.802734,-96.452859", "🔗 Ver Mapa")</f>
        <v>🔗 Ver Mapa</v>
      </c>
    </row>
    <row r="1767" spans="1:12" ht="58" x14ac:dyDescent="0.35">
      <c r="A1767" s="5" t="s">
        <v>7</v>
      </c>
      <c r="B1767" s="5" t="s">
        <v>20</v>
      </c>
      <c r="C1767" s="5" t="s">
        <v>1286</v>
      </c>
      <c r="D1767" s="8" t="s">
        <v>219</v>
      </c>
      <c r="E1767" s="16" t="s">
        <v>75</v>
      </c>
      <c r="F1767" s="16" t="s">
        <v>84</v>
      </c>
      <c r="G1767" s="8" t="s">
        <v>98</v>
      </c>
      <c r="H1767" s="8" t="s">
        <v>1287</v>
      </c>
      <c r="I1767" s="16" t="s">
        <v>138</v>
      </c>
      <c r="J1767" s="16">
        <v>16.803186</v>
      </c>
      <c r="K1767" s="16">
        <v>-96.452881000000005</v>
      </c>
      <c r="L1767" s="16" t="str">
        <f>HYPERLINK("https://maps.google.com/?q=16.803186,-96.452881", "🔗 Ver Mapa")</f>
        <v>🔗 Ver Mapa</v>
      </c>
    </row>
    <row r="1768" spans="1:12" ht="58" x14ac:dyDescent="0.35">
      <c r="A1768" s="6" t="s">
        <v>7</v>
      </c>
      <c r="B1768" s="6" t="s">
        <v>20</v>
      </c>
      <c r="C1768" s="6" t="s">
        <v>1286</v>
      </c>
      <c r="D1768" s="11" t="s">
        <v>219</v>
      </c>
      <c r="E1768" s="17" t="s">
        <v>75</v>
      </c>
      <c r="F1768" s="17" t="s">
        <v>84</v>
      </c>
      <c r="G1768" s="11" t="s">
        <v>98</v>
      </c>
      <c r="H1768" s="11" t="s">
        <v>1287</v>
      </c>
      <c r="I1768" s="17" t="s">
        <v>138</v>
      </c>
      <c r="J1768" s="17">
        <v>16.803628</v>
      </c>
      <c r="K1768" s="17">
        <v>-96.452819000000005</v>
      </c>
      <c r="L1768" s="17" t="str">
        <f>HYPERLINK("https://maps.google.com/?q=16.803628,-96.452819", "🔗 Ver Mapa")</f>
        <v>🔗 Ver Mapa</v>
      </c>
    </row>
    <row r="1769" spans="1:12" ht="58" x14ac:dyDescent="0.35">
      <c r="A1769" s="5" t="s">
        <v>7</v>
      </c>
      <c r="B1769" s="5" t="s">
        <v>20</v>
      </c>
      <c r="C1769" s="5" t="s">
        <v>1286</v>
      </c>
      <c r="D1769" s="8" t="s">
        <v>219</v>
      </c>
      <c r="E1769" s="16" t="s">
        <v>75</v>
      </c>
      <c r="F1769" s="16" t="s">
        <v>84</v>
      </c>
      <c r="G1769" s="8" t="s">
        <v>98</v>
      </c>
      <c r="H1769" s="8" t="s">
        <v>1287</v>
      </c>
      <c r="I1769" s="16" t="s">
        <v>138</v>
      </c>
      <c r="J1769" s="16">
        <v>16.80406</v>
      </c>
      <c r="K1769" s="16">
        <v>-96.452681999999996</v>
      </c>
      <c r="L1769" s="16" t="str">
        <f>HYPERLINK("https://maps.google.com/?q=16.80406,-96.452682", "🔗 Ver Mapa")</f>
        <v>🔗 Ver Mapa</v>
      </c>
    </row>
    <row r="1770" spans="1:12" ht="58" x14ac:dyDescent="0.35">
      <c r="A1770" s="6" t="s">
        <v>7</v>
      </c>
      <c r="B1770" s="6" t="s">
        <v>20</v>
      </c>
      <c r="C1770" s="6" t="s">
        <v>1286</v>
      </c>
      <c r="D1770" s="11" t="s">
        <v>219</v>
      </c>
      <c r="E1770" s="17" t="s">
        <v>75</v>
      </c>
      <c r="F1770" s="17" t="s">
        <v>84</v>
      </c>
      <c r="G1770" s="11" t="s">
        <v>98</v>
      </c>
      <c r="H1770" s="11" t="s">
        <v>1287</v>
      </c>
      <c r="I1770" s="17" t="s">
        <v>138</v>
      </c>
      <c r="J1770" s="17">
        <v>16.80442</v>
      </c>
      <c r="K1770" s="17">
        <v>-96.452573999999998</v>
      </c>
      <c r="L1770" s="17" t="str">
        <f>HYPERLINK("https://maps.google.com/?q=16.80442,-96.452574", "🔗 Ver Mapa")</f>
        <v>🔗 Ver Mapa</v>
      </c>
    </row>
    <row r="1771" spans="1:12" ht="72.5" x14ac:dyDescent="0.35">
      <c r="A1771" s="5" t="s">
        <v>225</v>
      </c>
      <c r="B1771" s="5" t="s">
        <v>226</v>
      </c>
      <c r="C1771" s="5" t="s">
        <v>1288</v>
      </c>
      <c r="D1771" s="8" t="s">
        <v>69</v>
      </c>
      <c r="E1771" s="16" t="s">
        <v>79</v>
      </c>
      <c r="F1771" s="16" t="s">
        <v>91</v>
      </c>
      <c r="G1771" s="8" t="s">
        <v>730</v>
      </c>
      <c r="H1771" s="8" t="s">
        <v>1289</v>
      </c>
      <c r="I1771" s="16" t="s">
        <v>138</v>
      </c>
      <c r="J1771" s="16">
        <v>16.559972999999999</v>
      </c>
      <c r="K1771" s="16">
        <v>-97.538183000000004</v>
      </c>
      <c r="L1771" s="16" t="str">
        <f>HYPERLINK("https://maps.google.com/?q=16.559973,-97.538183", "🔗 Ver Mapa")</f>
        <v>🔗 Ver Mapa</v>
      </c>
    </row>
    <row r="1772" spans="1:12" ht="72.5" x14ac:dyDescent="0.35">
      <c r="A1772" s="6" t="s">
        <v>225</v>
      </c>
      <c r="B1772" s="6" t="s">
        <v>226</v>
      </c>
      <c r="C1772" s="6" t="s">
        <v>1288</v>
      </c>
      <c r="D1772" s="11" t="s">
        <v>69</v>
      </c>
      <c r="E1772" s="17" t="s">
        <v>79</v>
      </c>
      <c r="F1772" s="17" t="s">
        <v>91</v>
      </c>
      <c r="G1772" s="11" t="s">
        <v>730</v>
      </c>
      <c r="H1772" s="11" t="s">
        <v>1289</v>
      </c>
      <c r="I1772" s="17" t="s">
        <v>138</v>
      </c>
      <c r="J1772" s="17">
        <v>16.561194</v>
      </c>
      <c r="K1772" s="17">
        <v>-97.537380999999996</v>
      </c>
      <c r="L1772" s="17" t="str">
        <f>HYPERLINK("https://maps.google.com/?q=16.561194,-97.537381", "🔗 Ver Mapa")</f>
        <v>🔗 Ver Mapa</v>
      </c>
    </row>
    <row r="1773" spans="1:12" ht="72.5" x14ac:dyDescent="0.35">
      <c r="A1773" s="5" t="s">
        <v>225</v>
      </c>
      <c r="B1773" s="5" t="s">
        <v>226</v>
      </c>
      <c r="C1773" s="5" t="s">
        <v>1288</v>
      </c>
      <c r="D1773" s="8" t="s">
        <v>69</v>
      </c>
      <c r="E1773" s="16" t="s">
        <v>79</v>
      </c>
      <c r="F1773" s="16" t="s">
        <v>91</v>
      </c>
      <c r="G1773" s="8" t="s">
        <v>730</v>
      </c>
      <c r="H1773" s="8" t="s">
        <v>1289</v>
      </c>
      <c r="I1773" s="16" t="s">
        <v>138</v>
      </c>
      <c r="J1773" s="16">
        <v>16.561716000000001</v>
      </c>
      <c r="K1773" s="16">
        <v>-97.539637999999997</v>
      </c>
      <c r="L1773" s="16" t="str">
        <f>HYPERLINK("https://maps.google.com/?q=16.561716,-97.539638", "🔗 Ver Mapa")</f>
        <v>🔗 Ver Mapa</v>
      </c>
    </row>
    <row r="1774" spans="1:12" ht="43.5" x14ac:dyDescent="0.35">
      <c r="A1774" s="6" t="s">
        <v>593</v>
      </c>
      <c r="B1774" s="6" t="s">
        <v>594</v>
      </c>
      <c r="C1774" s="6" t="s">
        <v>1290</v>
      </c>
      <c r="D1774" s="11" t="s">
        <v>62</v>
      </c>
      <c r="E1774" s="17" t="s">
        <v>75</v>
      </c>
      <c r="F1774" s="17" t="s">
        <v>86</v>
      </c>
      <c r="G1774" s="11" t="s">
        <v>557</v>
      </c>
      <c r="H1774" s="11" t="s">
        <v>558</v>
      </c>
      <c r="I1774" s="17" t="s">
        <v>138</v>
      </c>
      <c r="J1774" s="17">
        <v>17.065867999999998</v>
      </c>
      <c r="K1774" s="17">
        <v>-96.693758200000005</v>
      </c>
      <c r="L1774" s="17" t="str">
        <f>HYPERLINK("https://maps.google.com/?q=17.065868,-96.6937582", "🔗 Ver Mapa")</f>
        <v>🔗 Ver Mapa</v>
      </c>
    </row>
    <row r="1775" spans="1:12" ht="43.5" x14ac:dyDescent="0.35">
      <c r="A1775" s="5" t="s">
        <v>291</v>
      </c>
      <c r="B1775" s="5" t="s">
        <v>292</v>
      </c>
      <c r="C1775" s="5" t="s">
        <v>1291</v>
      </c>
      <c r="D1775" s="8" t="s">
        <v>64</v>
      </c>
      <c r="E1775" s="16" t="s">
        <v>75</v>
      </c>
      <c r="F1775" s="16" t="s">
        <v>86</v>
      </c>
      <c r="G1775" s="8" t="s">
        <v>807</v>
      </c>
      <c r="H1775" s="8" t="s">
        <v>808</v>
      </c>
      <c r="I1775" s="16" t="s">
        <v>296</v>
      </c>
      <c r="J1775" s="16">
        <v>17.02439437</v>
      </c>
      <c r="K1775" s="16">
        <v>-96.713103290000006</v>
      </c>
      <c r="L1775" s="16" t="str">
        <f>HYPERLINK("https://maps.google.com/?q=17.02439437,-96.71310329", "🔗 Ver Mapa")</f>
        <v>🔗 Ver Mapa</v>
      </c>
    </row>
    <row r="1776" spans="1:12" ht="43.5" x14ac:dyDescent="0.35">
      <c r="A1776" s="6" t="s">
        <v>291</v>
      </c>
      <c r="B1776" s="6" t="s">
        <v>292</v>
      </c>
      <c r="C1776" s="6" t="s">
        <v>1291</v>
      </c>
      <c r="D1776" s="11" t="s">
        <v>64</v>
      </c>
      <c r="E1776" s="17" t="s">
        <v>75</v>
      </c>
      <c r="F1776" s="17" t="s">
        <v>86</v>
      </c>
      <c r="G1776" s="11" t="s">
        <v>807</v>
      </c>
      <c r="H1776" s="11" t="s">
        <v>808</v>
      </c>
      <c r="I1776" s="17" t="s">
        <v>296</v>
      </c>
      <c r="J1776" s="17">
        <v>17.024459074999999</v>
      </c>
      <c r="K1776" s="17">
        <v>-96.713122400000003</v>
      </c>
      <c r="L1776" s="17" t="str">
        <f>HYPERLINK("https://maps.google.com/?q=17.024459075,-96.7131224", "🔗 Ver Mapa")</f>
        <v>🔗 Ver Mapa</v>
      </c>
    </row>
    <row r="1777" spans="1:12" ht="43.5" x14ac:dyDescent="0.35">
      <c r="A1777" s="5" t="s">
        <v>291</v>
      </c>
      <c r="B1777" s="5" t="s">
        <v>292</v>
      </c>
      <c r="C1777" s="5" t="s">
        <v>1291</v>
      </c>
      <c r="D1777" s="8" t="s">
        <v>64</v>
      </c>
      <c r="E1777" s="16" t="s">
        <v>75</v>
      </c>
      <c r="F1777" s="16" t="s">
        <v>86</v>
      </c>
      <c r="G1777" s="8" t="s">
        <v>807</v>
      </c>
      <c r="H1777" s="8" t="s">
        <v>808</v>
      </c>
      <c r="I1777" s="16" t="s">
        <v>296</v>
      </c>
      <c r="J1777" s="16">
        <v>17.024693160000002</v>
      </c>
      <c r="K1777" s="16">
        <v>-96.713133099999993</v>
      </c>
      <c r="L1777" s="16" t="str">
        <f>HYPERLINK("https://maps.google.com/?q=17.02469316,-96.7131331", "🔗 Ver Mapa")</f>
        <v>🔗 Ver Mapa</v>
      </c>
    </row>
    <row r="1778" spans="1:12" ht="43.5" x14ac:dyDescent="0.35">
      <c r="A1778" s="6" t="s">
        <v>291</v>
      </c>
      <c r="B1778" s="6" t="s">
        <v>292</v>
      </c>
      <c r="C1778" s="6" t="s">
        <v>1291</v>
      </c>
      <c r="D1778" s="11" t="s">
        <v>64</v>
      </c>
      <c r="E1778" s="17" t="s">
        <v>75</v>
      </c>
      <c r="F1778" s="17" t="s">
        <v>86</v>
      </c>
      <c r="G1778" s="11" t="s">
        <v>807</v>
      </c>
      <c r="H1778" s="11" t="s">
        <v>808</v>
      </c>
      <c r="I1778" s="17" t="s">
        <v>296</v>
      </c>
      <c r="J1778" s="17">
        <v>17.02530612</v>
      </c>
      <c r="K1778" s="17">
        <v>-96.713049900000001</v>
      </c>
      <c r="L1778" s="17" t="str">
        <f>HYPERLINK("https://maps.google.com/?q=17.02530612,-96.7130499", "🔗 Ver Mapa")</f>
        <v>🔗 Ver Mapa</v>
      </c>
    </row>
    <row r="1779" spans="1:12" ht="43.5" x14ac:dyDescent="0.35">
      <c r="A1779" s="5" t="s">
        <v>291</v>
      </c>
      <c r="B1779" s="5" t="s">
        <v>292</v>
      </c>
      <c r="C1779" s="5" t="s">
        <v>1291</v>
      </c>
      <c r="D1779" s="8" t="s">
        <v>64</v>
      </c>
      <c r="E1779" s="16" t="s">
        <v>75</v>
      </c>
      <c r="F1779" s="16" t="s">
        <v>86</v>
      </c>
      <c r="G1779" s="8" t="s">
        <v>807</v>
      </c>
      <c r="H1779" s="8" t="s">
        <v>808</v>
      </c>
      <c r="I1779" s="16" t="s">
        <v>296</v>
      </c>
      <c r="J1779" s="16">
        <v>17.025703643</v>
      </c>
      <c r="K1779" s="16">
        <v>-96.712969509999994</v>
      </c>
      <c r="L1779" s="16" t="str">
        <f>HYPERLINK("https://maps.google.com/?q=17.025703643,-96.71296951", "🔗 Ver Mapa")</f>
        <v>🔗 Ver Mapa</v>
      </c>
    </row>
    <row r="1780" spans="1:12" ht="43.5" x14ac:dyDescent="0.35">
      <c r="A1780" s="6" t="s">
        <v>291</v>
      </c>
      <c r="B1780" s="6" t="s">
        <v>292</v>
      </c>
      <c r="C1780" s="6" t="s">
        <v>1291</v>
      </c>
      <c r="D1780" s="11" t="s">
        <v>64</v>
      </c>
      <c r="E1780" s="17" t="s">
        <v>75</v>
      </c>
      <c r="F1780" s="17" t="s">
        <v>86</v>
      </c>
      <c r="G1780" s="11" t="s">
        <v>807</v>
      </c>
      <c r="H1780" s="11" t="s">
        <v>808</v>
      </c>
      <c r="I1780" s="17" t="s">
        <v>296</v>
      </c>
      <c r="J1780" s="17">
        <v>17.025974214000001</v>
      </c>
      <c r="K1780" s="17">
        <v>-96.712962813000004</v>
      </c>
      <c r="L1780" s="17" t="str">
        <f>HYPERLINK("https://maps.google.com/?q=17.025974214,-96.712962813", "🔗 Ver Mapa")</f>
        <v>🔗 Ver Mapa</v>
      </c>
    </row>
    <row r="1781" spans="1:12" ht="43.5" x14ac:dyDescent="0.35">
      <c r="A1781" s="5" t="s">
        <v>291</v>
      </c>
      <c r="B1781" s="5" t="s">
        <v>292</v>
      </c>
      <c r="C1781" s="5" t="s">
        <v>1291</v>
      </c>
      <c r="D1781" s="8" t="s">
        <v>64</v>
      </c>
      <c r="E1781" s="16" t="s">
        <v>75</v>
      </c>
      <c r="F1781" s="16" t="s">
        <v>86</v>
      </c>
      <c r="G1781" s="8" t="s">
        <v>807</v>
      </c>
      <c r="H1781" s="8" t="s">
        <v>808</v>
      </c>
      <c r="I1781" s="16" t="s">
        <v>296</v>
      </c>
      <c r="J1781" s="16">
        <v>17.026041589999998</v>
      </c>
      <c r="K1781" s="16">
        <v>-96.712951126999997</v>
      </c>
      <c r="L1781" s="16" t="str">
        <f>HYPERLINK("https://maps.google.com/?q=17.02604159,-96.712951127", "🔗 Ver Mapa")</f>
        <v>🔗 Ver Mapa</v>
      </c>
    </row>
    <row r="1782" spans="1:12" ht="43.5" x14ac:dyDescent="0.35">
      <c r="A1782" s="6" t="s">
        <v>291</v>
      </c>
      <c r="B1782" s="6" t="s">
        <v>292</v>
      </c>
      <c r="C1782" s="6" t="s">
        <v>1291</v>
      </c>
      <c r="D1782" s="11" t="s">
        <v>64</v>
      </c>
      <c r="E1782" s="17" t="s">
        <v>75</v>
      </c>
      <c r="F1782" s="17" t="s">
        <v>86</v>
      </c>
      <c r="G1782" s="11" t="s">
        <v>807</v>
      </c>
      <c r="H1782" s="11" t="s">
        <v>808</v>
      </c>
      <c r="I1782" s="17" t="s">
        <v>296</v>
      </c>
      <c r="J1782" s="17">
        <v>17.026452429999999</v>
      </c>
      <c r="K1782" s="17">
        <v>-96.712838349999998</v>
      </c>
      <c r="L1782" s="17" t="str">
        <f>HYPERLINK("https://maps.google.com/?q=17.02645243,-96.71283835", "🔗 Ver Mapa")</f>
        <v>🔗 Ver Mapa</v>
      </c>
    </row>
    <row r="1783" spans="1:12" ht="43.5" x14ac:dyDescent="0.35">
      <c r="A1783" s="5" t="s">
        <v>291</v>
      </c>
      <c r="B1783" s="5" t="s">
        <v>292</v>
      </c>
      <c r="C1783" s="5" t="s">
        <v>1291</v>
      </c>
      <c r="D1783" s="8" t="s">
        <v>64</v>
      </c>
      <c r="E1783" s="16" t="s">
        <v>75</v>
      </c>
      <c r="F1783" s="16" t="s">
        <v>86</v>
      </c>
      <c r="G1783" s="8" t="s">
        <v>807</v>
      </c>
      <c r="H1783" s="8" t="s">
        <v>808</v>
      </c>
      <c r="I1783" s="16" t="s">
        <v>296</v>
      </c>
      <c r="J1783" s="16">
        <v>17.026454211400001</v>
      </c>
      <c r="K1783" s="16">
        <v>-96.712777051000003</v>
      </c>
      <c r="L1783" s="16" t="str">
        <f>HYPERLINK("https://maps.google.com/?q=17.0264542114,-96.712777051", "🔗 Ver Mapa")</f>
        <v>🔗 Ver Mapa</v>
      </c>
    </row>
    <row r="1784" spans="1:12" ht="43.5" x14ac:dyDescent="0.35">
      <c r="A1784" s="6" t="s">
        <v>291</v>
      </c>
      <c r="B1784" s="6" t="s">
        <v>292</v>
      </c>
      <c r="C1784" s="6" t="s">
        <v>1291</v>
      </c>
      <c r="D1784" s="11" t="s">
        <v>64</v>
      </c>
      <c r="E1784" s="17" t="s">
        <v>75</v>
      </c>
      <c r="F1784" s="17" t="s">
        <v>86</v>
      </c>
      <c r="G1784" s="11" t="s">
        <v>807</v>
      </c>
      <c r="H1784" s="11" t="s">
        <v>808</v>
      </c>
      <c r="I1784" s="17" t="s">
        <v>296</v>
      </c>
      <c r="J1784" s="17">
        <v>17.026634770000001</v>
      </c>
      <c r="K1784" s="17">
        <v>-96.712578500000006</v>
      </c>
      <c r="L1784" s="17" t="str">
        <f>HYPERLINK("https://maps.google.com/?q=17.02663477,-96.7125785", "🔗 Ver Mapa")</f>
        <v>🔗 Ver Mapa</v>
      </c>
    </row>
    <row r="1785" spans="1:12" ht="43.5" x14ac:dyDescent="0.35">
      <c r="A1785" s="5" t="s">
        <v>291</v>
      </c>
      <c r="B1785" s="5" t="s">
        <v>292</v>
      </c>
      <c r="C1785" s="5" t="s">
        <v>1291</v>
      </c>
      <c r="D1785" s="8" t="s">
        <v>64</v>
      </c>
      <c r="E1785" s="16" t="s">
        <v>75</v>
      </c>
      <c r="F1785" s="16" t="s">
        <v>86</v>
      </c>
      <c r="G1785" s="8" t="s">
        <v>807</v>
      </c>
      <c r="H1785" s="8" t="s">
        <v>808</v>
      </c>
      <c r="I1785" s="16" t="s">
        <v>296</v>
      </c>
      <c r="J1785" s="16">
        <v>17.02696873</v>
      </c>
      <c r="K1785" s="16">
        <v>-96.712106500000004</v>
      </c>
      <c r="L1785" s="16" t="str">
        <f>HYPERLINK("https://maps.google.com/?q=17.02696873,-96.7121065", "🔗 Ver Mapa")</f>
        <v>🔗 Ver Mapa</v>
      </c>
    </row>
    <row r="1786" spans="1:12" ht="43.5" x14ac:dyDescent="0.35">
      <c r="A1786" s="6" t="s">
        <v>291</v>
      </c>
      <c r="B1786" s="6" t="s">
        <v>292</v>
      </c>
      <c r="C1786" s="6" t="s">
        <v>1291</v>
      </c>
      <c r="D1786" s="11" t="s">
        <v>64</v>
      </c>
      <c r="E1786" s="17" t="s">
        <v>75</v>
      </c>
      <c r="F1786" s="17" t="s">
        <v>86</v>
      </c>
      <c r="G1786" s="11" t="s">
        <v>807</v>
      </c>
      <c r="H1786" s="11" t="s">
        <v>808</v>
      </c>
      <c r="I1786" s="17" t="s">
        <v>296</v>
      </c>
      <c r="J1786" s="17">
        <v>17.027121228999999</v>
      </c>
      <c r="K1786" s="17">
        <v>-96.711938247999996</v>
      </c>
      <c r="L1786" s="17" t="str">
        <f>HYPERLINK("https://maps.google.com/?q=17.027121229,-96.711938248", "🔗 Ver Mapa")</f>
        <v>🔗 Ver Mapa</v>
      </c>
    </row>
    <row r="1787" spans="1:12" ht="43.5" x14ac:dyDescent="0.35">
      <c r="A1787" s="5" t="s">
        <v>291</v>
      </c>
      <c r="B1787" s="5" t="s">
        <v>292</v>
      </c>
      <c r="C1787" s="5" t="s">
        <v>1291</v>
      </c>
      <c r="D1787" s="8" t="s">
        <v>64</v>
      </c>
      <c r="E1787" s="16" t="s">
        <v>75</v>
      </c>
      <c r="F1787" s="16" t="s">
        <v>86</v>
      </c>
      <c r="G1787" s="8" t="s">
        <v>807</v>
      </c>
      <c r="H1787" s="8" t="s">
        <v>808</v>
      </c>
      <c r="I1787" s="16" t="s">
        <v>296</v>
      </c>
      <c r="J1787" s="16">
        <v>17.027422569999999</v>
      </c>
      <c r="K1787" s="16">
        <v>-96.711751090000007</v>
      </c>
      <c r="L1787" s="16" t="str">
        <f>HYPERLINK("https://maps.google.com/?q=17.02742257,-96.71175109", "🔗 Ver Mapa")</f>
        <v>🔗 Ver Mapa</v>
      </c>
    </row>
    <row r="1788" spans="1:12" ht="43.5" x14ac:dyDescent="0.35">
      <c r="A1788" s="6" t="s">
        <v>291</v>
      </c>
      <c r="B1788" s="6" t="s">
        <v>292</v>
      </c>
      <c r="C1788" s="6" t="s">
        <v>1291</v>
      </c>
      <c r="D1788" s="11" t="s">
        <v>64</v>
      </c>
      <c r="E1788" s="17" t="s">
        <v>75</v>
      </c>
      <c r="F1788" s="17" t="s">
        <v>86</v>
      </c>
      <c r="G1788" s="11" t="s">
        <v>807</v>
      </c>
      <c r="H1788" s="11" t="s">
        <v>808</v>
      </c>
      <c r="I1788" s="17" t="s">
        <v>296</v>
      </c>
      <c r="J1788" s="17">
        <v>17.02783354</v>
      </c>
      <c r="K1788" s="17">
        <v>-96.711491100000003</v>
      </c>
      <c r="L1788" s="17" t="str">
        <f>HYPERLINK("https://maps.google.com/?q=17.02783354,-96.7114911", "🔗 Ver Mapa")</f>
        <v>🔗 Ver Mapa</v>
      </c>
    </row>
    <row r="1789" spans="1:12" ht="43.5" x14ac:dyDescent="0.35">
      <c r="A1789" s="5" t="s">
        <v>291</v>
      </c>
      <c r="B1789" s="5" t="s">
        <v>292</v>
      </c>
      <c r="C1789" s="5" t="s">
        <v>1291</v>
      </c>
      <c r="D1789" s="8" t="s">
        <v>64</v>
      </c>
      <c r="E1789" s="16" t="s">
        <v>75</v>
      </c>
      <c r="F1789" s="16" t="s">
        <v>86</v>
      </c>
      <c r="G1789" s="8" t="s">
        <v>807</v>
      </c>
      <c r="H1789" s="8" t="s">
        <v>808</v>
      </c>
      <c r="I1789" s="16" t="s">
        <v>296</v>
      </c>
      <c r="J1789" s="16">
        <v>17.028092019999999</v>
      </c>
      <c r="K1789" s="16">
        <v>-96.711338029999993</v>
      </c>
      <c r="L1789" s="16" t="str">
        <f>HYPERLINK("https://maps.google.com/?q=17.02809202,-96.71133803", "🔗 Ver Mapa")</f>
        <v>🔗 Ver Mapa</v>
      </c>
    </row>
    <row r="1790" spans="1:12" ht="43.5" x14ac:dyDescent="0.35">
      <c r="A1790" s="6" t="s">
        <v>291</v>
      </c>
      <c r="B1790" s="6" t="s">
        <v>292</v>
      </c>
      <c r="C1790" s="6" t="s">
        <v>1291</v>
      </c>
      <c r="D1790" s="11" t="s">
        <v>64</v>
      </c>
      <c r="E1790" s="17" t="s">
        <v>75</v>
      </c>
      <c r="F1790" s="17" t="s">
        <v>86</v>
      </c>
      <c r="G1790" s="11" t="s">
        <v>807</v>
      </c>
      <c r="H1790" s="11" t="s">
        <v>808</v>
      </c>
      <c r="I1790" s="17" t="s">
        <v>296</v>
      </c>
      <c r="J1790" s="17">
        <v>17.028395400000001</v>
      </c>
      <c r="K1790" s="17">
        <v>-96.711168169999993</v>
      </c>
      <c r="L1790" s="17" t="str">
        <f>HYPERLINK("https://maps.google.com/?q=17.0283954,-96.71116817", "🔗 Ver Mapa")</f>
        <v>🔗 Ver Mapa</v>
      </c>
    </row>
    <row r="1791" spans="1:12" ht="43.5" x14ac:dyDescent="0.35">
      <c r="A1791" s="5" t="s">
        <v>291</v>
      </c>
      <c r="B1791" s="5" t="s">
        <v>292</v>
      </c>
      <c r="C1791" s="5" t="s">
        <v>1291</v>
      </c>
      <c r="D1791" s="8" t="s">
        <v>64</v>
      </c>
      <c r="E1791" s="16" t="s">
        <v>75</v>
      </c>
      <c r="F1791" s="16" t="s">
        <v>86</v>
      </c>
      <c r="G1791" s="8" t="s">
        <v>807</v>
      </c>
      <c r="H1791" s="8" t="s">
        <v>808</v>
      </c>
      <c r="I1791" s="16" t="s">
        <v>296</v>
      </c>
      <c r="J1791" s="16">
        <v>17.0285929</v>
      </c>
      <c r="K1791" s="16">
        <v>-96.710956060000001</v>
      </c>
      <c r="L1791" s="16" t="str">
        <f>HYPERLINK("https://maps.google.com/?q=17.0285929,-96.71095606", "🔗 Ver Mapa")</f>
        <v>🔗 Ver Mapa</v>
      </c>
    </row>
    <row r="1792" spans="1:12" ht="43.5" x14ac:dyDescent="0.35">
      <c r="A1792" s="6" t="s">
        <v>291</v>
      </c>
      <c r="B1792" s="6" t="s">
        <v>292</v>
      </c>
      <c r="C1792" s="6" t="s">
        <v>1291</v>
      </c>
      <c r="D1792" s="11" t="s">
        <v>64</v>
      </c>
      <c r="E1792" s="17" t="s">
        <v>75</v>
      </c>
      <c r="F1792" s="17" t="s">
        <v>86</v>
      </c>
      <c r="G1792" s="11" t="s">
        <v>807</v>
      </c>
      <c r="H1792" s="11" t="s">
        <v>808</v>
      </c>
      <c r="I1792" s="17" t="s">
        <v>296</v>
      </c>
      <c r="J1792" s="17">
        <v>17.028776278999999</v>
      </c>
      <c r="K1792" s="17">
        <v>-96.71074935</v>
      </c>
      <c r="L1792" s="17" t="str">
        <f>HYPERLINK("https://maps.google.com/?q=17.028776279,-96.71074935", "🔗 Ver Mapa")</f>
        <v>🔗 Ver Mapa</v>
      </c>
    </row>
    <row r="1793" spans="1:12" ht="43.5" x14ac:dyDescent="0.35">
      <c r="A1793" s="5" t="s">
        <v>7</v>
      </c>
      <c r="B1793" s="5" t="s">
        <v>20</v>
      </c>
      <c r="C1793" s="5" t="s">
        <v>1292</v>
      </c>
      <c r="D1793" s="8" t="s">
        <v>219</v>
      </c>
      <c r="E1793" s="16" t="s">
        <v>164</v>
      </c>
      <c r="F1793" s="16" t="s">
        <v>165</v>
      </c>
      <c r="G1793" s="8" t="s">
        <v>243</v>
      </c>
      <c r="H1793" s="8" t="s">
        <v>244</v>
      </c>
      <c r="I1793" s="16" t="s">
        <v>138</v>
      </c>
      <c r="J1793" s="16">
        <v>17.984279999999998</v>
      </c>
      <c r="K1793" s="16">
        <v>-96.827209999999994</v>
      </c>
      <c r="L1793" s="16" t="str">
        <f>HYPERLINK("https://maps.google.com/?q=17.98428,-96.82721", "🔗 Ver Mapa")</f>
        <v>🔗 Ver Mapa</v>
      </c>
    </row>
    <row r="1794" spans="1:12" ht="43.5" x14ac:dyDescent="0.35">
      <c r="A1794" s="6" t="s">
        <v>7</v>
      </c>
      <c r="B1794" s="6" t="s">
        <v>20</v>
      </c>
      <c r="C1794" s="6" t="s">
        <v>1292</v>
      </c>
      <c r="D1794" s="11" t="s">
        <v>219</v>
      </c>
      <c r="E1794" s="17" t="s">
        <v>164</v>
      </c>
      <c r="F1794" s="17" t="s">
        <v>165</v>
      </c>
      <c r="G1794" s="11" t="s">
        <v>243</v>
      </c>
      <c r="H1794" s="11" t="s">
        <v>244</v>
      </c>
      <c r="I1794" s="17" t="s">
        <v>138</v>
      </c>
      <c r="J1794" s="17">
        <v>17.984310000000001</v>
      </c>
      <c r="K1794" s="17">
        <v>-96.826669999999993</v>
      </c>
      <c r="L1794" s="17" t="str">
        <f>HYPERLINK("https://maps.google.com/?q=17.98431,-96.82667", "🔗 Ver Mapa")</f>
        <v>🔗 Ver Mapa</v>
      </c>
    </row>
    <row r="1795" spans="1:12" ht="43.5" x14ac:dyDescent="0.35">
      <c r="A1795" s="5" t="s">
        <v>7</v>
      </c>
      <c r="B1795" s="5" t="s">
        <v>20</v>
      </c>
      <c r="C1795" s="5" t="s">
        <v>1292</v>
      </c>
      <c r="D1795" s="8" t="s">
        <v>219</v>
      </c>
      <c r="E1795" s="16" t="s">
        <v>164</v>
      </c>
      <c r="F1795" s="16" t="s">
        <v>165</v>
      </c>
      <c r="G1795" s="8" t="s">
        <v>243</v>
      </c>
      <c r="H1795" s="8" t="s">
        <v>244</v>
      </c>
      <c r="I1795" s="16" t="s">
        <v>138</v>
      </c>
      <c r="J1795" s="16">
        <v>17.98432</v>
      </c>
      <c r="K1795" s="16">
        <v>-96.826210000000003</v>
      </c>
      <c r="L1795" s="16" t="str">
        <f>HYPERLINK("https://maps.google.com/?q=17.98432,-96.82621", "🔗 Ver Mapa")</f>
        <v>🔗 Ver Mapa</v>
      </c>
    </row>
    <row r="1796" spans="1:12" ht="43.5" x14ac:dyDescent="0.35">
      <c r="A1796" s="6" t="s">
        <v>7</v>
      </c>
      <c r="B1796" s="6" t="s">
        <v>20</v>
      </c>
      <c r="C1796" s="6" t="s">
        <v>1292</v>
      </c>
      <c r="D1796" s="11" t="s">
        <v>219</v>
      </c>
      <c r="E1796" s="17" t="s">
        <v>164</v>
      </c>
      <c r="F1796" s="17" t="s">
        <v>165</v>
      </c>
      <c r="G1796" s="11" t="s">
        <v>243</v>
      </c>
      <c r="H1796" s="11" t="s">
        <v>244</v>
      </c>
      <c r="I1796" s="17" t="s">
        <v>138</v>
      </c>
      <c r="J1796" s="17">
        <v>17.984490000000001</v>
      </c>
      <c r="K1796" s="17">
        <v>-96.825760000000002</v>
      </c>
      <c r="L1796" s="17" t="str">
        <f>HYPERLINK("https://maps.google.com/?q=17.98449,-96.82576", "🔗 Ver Mapa")</f>
        <v>🔗 Ver Mapa</v>
      </c>
    </row>
    <row r="1797" spans="1:12" ht="43.5" x14ac:dyDescent="0.35">
      <c r="A1797" s="5" t="s">
        <v>7</v>
      </c>
      <c r="B1797" s="5" t="s">
        <v>20</v>
      </c>
      <c r="C1797" s="5" t="s">
        <v>1292</v>
      </c>
      <c r="D1797" s="8" t="s">
        <v>219</v>
      </c>
      <c r="E1797" s="16" t="s">
        <v>164</v>
      </c>
      <c r="F1797" s="16" t="s">
        <v>165</v>
      </c>
      <c r="G1797" s="8" t="s">
        <v>243</v>
      </c>
      <c r="H1797" s="8" t="s">
        <v>244</v>
      </c>
      <c r="I1797" s="16" t="s">
        <v>138</v>
      </c>
      <c r="J1797" s="16">
        <v>17.98461</v>
      </c>
      <c r="K1797" s="16">
        <v>-96.825339999999997</v>
      </c>
      <c r="L1797" s="16" t="str">
        <f>HYPERLINK("https://maps.google.com/?q=17.98461,-96.82534", "🔗 Ver Mapa")</f>
        <v>🔗 Ver Mapa</v>
      </c>
    </row>
    <row r="1798" spans="1:12" ht="43.5" x14ac:dyDescent="0.35">
      <c r="A1798" s="6" t="s">
        <v>7</v>
      </c>
      <c r="B1798" s="6" t="s">
        <v>20</v>
      </c>
      <c r="C1798" s="6" t="s">
        <v>1292</v>
      </c>
      <c r="D1798" s="11" t="s">
        <v>219</v>
      </c>
      <c r="E1798" s="17" t="s">
        <v>164</v>
      </c>
      <c r="F1798" s="17" t="s">
        <v>165</v>
      </c>
      <c r="G1798" s="11" t="s">
        <v>243</v>
      </c>
      <c r="H1798" s="11" t="s">
        <v>244</v>
      </c>
      <c r="I1798" s="17" t="s">
        <v>138</v>
      </c>
      <c r="J1798" s="17">
        <v>17.984660000000002</v>
      </c>
      <c r="K1798" s="17">
        <v>-96.831900000000005</v>
      </c>
      <c r="L1798" s="17" t="str">
        <f>HYPERLINK("https://maps.google.com/?q=17.98466,-96.8319", "🔗 Ver Mapa")</f>
        <v>🔗 Ver Mapa</v>
      </c>
    </row>
    <row r="1799" spans="1:12" ht="43.5" x14ac:dyDescent="0.35">
      <c r="A1799" s="5" t="s">
        <v>7</v>
      </c>
      <c r="B1799" s="5" t="s">
        <v>20</v>
      </c>
      <c r="C1799" s="5" t="s">
        <v>1292</v>
      </c>
      <c r="D1799" s="8" t="s">
        <v>219</v>
      </c>
      <c r="E1799" s="16" t="s">
        <v>164</v>
      </c>
      <c r="F1799" s="16" t="s">
        <v>165</v>
      </c>
      <c r="G1799" s="8" t="s">
        <v>243</v>
      </c>
      <c r="H1799" s="8" t="s">
        <v>244</v>
      </c>
      <c r="I1799" s="16" t="s">
        <v>138</v>
      </c>
      <c r="J1799" s="16">
        <v>17.984719999999999</v>
      </c>
      <c r="K1799" s="16">
        <v>-96.831490000000002</v>
      </c>
      <c r="L1799" s="16" t="str">
        <f>HYPERLINK("https://maps.google.com/?q=17.98472,-96.83149", "🔗 Ver Mapa")</f>
        <v>🔗 Ver Mapa</v>
      </c>
    </row>
    <row r="1800" spans="1:12" ht="43.5" x14ac:dyDescent="0.35">
      <c r="A1800" s="6" t="s">
        <v>7</v>
      </c>
      <c r="B1800" s="6" t="s">
        <v>20</v>
      </c>
      <c r="C1800" s="6" t="s">
        <v>1292</v>
      </c>
      <c r="D1800" s="11" t="s">
        <v>219</v>
      </c>
      <c r="E1800" s="17" t="s">
        <v>164</v>
      </c>
      <c r="F1800" s="17" t="s">
        <v>165</v>
      </c>
      <c r="G1800" s="11" t="s">
        <v>243</v>
      </c>
      <c r="H1800" s="11" t="s">
        <v>244</v>
      </c>
      <c r="I1800" s="17" t="s">
        <v>138</v>
      </c>
      <c r="J1800" s="17">
        <v>17.984860000000001</v>
      </c>
      <c r="K1800" s="17">
        <v>-96.832269999999994</v>
      </c>
      <c r="L1800" s="17" t="str">
        <f>HYPERLINK("https://maps.google.com/?q=17.98486,-96.83227", "🔗 Ver Mapa")</f>
        <v>🔗 Ver Mapa</v>
      </c>
    </row>
    <row r="1801" spans="1:12" ht="43.5" x14ac:dyDescent="0.35">
      <c r="A1801" s="5" t="s">
        <v>7</v>
      </c>
      <c r="B1801" s="5" t="s">
        <v>20</v>
      </c>
      <c r="C1801" s="5" t="s">
        <v>1292</v>
      </c>
      <c r="D1801" s="8" t="s">
        <v>219</v>
      </c>
      <c r="E1801" s="16" t="s">
        <v>164</v>
      </c>
      <c r="F1801" s="16" t="s">
        <v>165</v>
      </c>
      <c r="G1801" s="8" t="s">
        <v>243</v>
      </c>
      <c r="H1801" s="8" t="s">
        <v>244</v>
      </c>
      <c r="I1801" s="16" t="s">
        <v>138</v>
      </c>
      <c r="J1801" s="16">
        <v>17.98508</v>
      </c>
      <c r="K1801" s="16">
        <v>-96.832610000000003</v>
      </c>
      <c r="L1801" s="16" t="str">
        <f>HYPERLINK("https://maps.google.com/?q=17.98508,-96.83261", "🔗 Ver Mapa")</f>
        <v>🔗 Ver Mapa</v>
      </c>
    </row>
    <row r="1802" spans="1:12" ht="43.5" x14ac:dyDescent="0.35">
      <c r="A1802" s="6" t="s">
        <v>7</v>
      </c>
      <c r="B1802" s="6" t="s">
        <v>20</v>
      </c>
      <c r="C1802" s="6" t="s">
        <v>1292</v>
      </c>
      <c r="D1802" s="11" t="s">
        <v>219</v>
      </c>
      <c r="E1802" s="17" t="s">
        <v>164</v>
      </c>
      <c r="F1802" s="17" t="s">
        <v>165</v>
      </c>
      <c r="G1802" s="11" t="s">
        <v>243</v>
      </c>
      <c r="H1802" s="11" t="s">
        <v>244</v>
      </c>
      <c r="I1802" s="17" t="s">
        <v>138</v>
      </c>
      <c r="J1802" s="17">
        <v>17.985440000000001</v>
      </c>
      <c r="K1802" s="17">
        <v>-96.831980000000001</v>
      </c>
      <c r="L1802" s="17" t="str">
        <f>HYPERLINK("https://maps.google.com/?q=17.98544,-96.83198", "🔗 Ver Mapa")</f>
        <v>🔗 Ver Mapa</v>
      </c>
    </row>
    <row r="1803" spans="1:12" ht="43.5" x14ac:dyDescent="0.35">
      <c r="A1803" s="5" t="s">
        <v>7</v>
      </c>
      <c r="B1803" s="5" t="s">
        <v>20</v>
      </c>
      <c r="C1803" s="5" t="s">
        <v>1292</v>
      </c>
      <c r="D1803" s="8" t="s">
        <v>219</v>
      </c>
      <c r="E1803" s="16" t="s">
        <v>164</v>
      </c>
      <c r="F1803" s="16" t="s">
        <v>165</v>
      </c>
      <c r="G1803" s="8" t="s">
        <v>243</v>
      </c>
      <c r="H1803" s="8" t="s">
        <v>244</v>
      </c>
      <c r="I1803" s="16" t="s">
        <v>138</v>
      </c>
      <c r="J1803" s="16">
        <v>17.985779999999998</v>
      </c>
      <c r="K1803" s="16">
        <v>-96.832409999999996</v>
      </c>
      <c r="L1803" s="16" t="str">
        <f>HYPERLINK("https://maps.google.com/?q=17.98578,-96.83241", "🔗 Ver Mapa")</f>
        <v>🔗 Ver Mapa</v>
      </c>
    </row>
    <row r="1804" spans="1:12" ht="43.5" x14ac:dyDescent="0.35">
      <c r="A1804" s="6" t="s">
        <v>7</v>
      </c>
      <c r="B1804" s="6" t="s">
        <v>20</v>
      </c>
      <c r="C1804" s="6" t="s">
        <v>1292</v>
      </c>
      <c r="D1804" s="11" t="s">
        <v>219</v>
      </c>
      <c r="E1804" s="17" t="s">
        <v>164</v>
      </c>
      <c r="F1804" s="17" t="s">
        <v>165</v>
      </c>
      <c r="G1804" s="11" t="s">
        <v>243</v>
      </c>
      <c r="H1804" s="11" t="s">
        <v>244</v>
      </c>
      <c r="I1804" s="17" t="s">
        <v>138</v>
      </c>
      <c r="J1804" s="17">
        <v>17.985973000000001</v>
      </c>
      <c r="K1804" s="17">
        <v>-96.832254000000006</v>
      </c>
      <c r="L1804" s="17" t="str">
        <f>HYPERLINK("https://maps.google.com/?q=17.985973,-96.832254", "🔗 Ver Mapa")</f>
        <v>🔗 Ver Mapa</v>
      </c>
    </row>
    <row r="1805" spans="1:12" ht="43.5" x14ac:dyDescent="0.35">
      <c r="A1805" s="5" t="s">
        <v>7</v>
      </c>
      <c r="B1805" s="5" t="s">
        <v>20</v>
      </c>
      <c r="C1805" s="5" t="s">
        <v>1292</v>
      </c>
      <c r="D1805" s="8" t="s">
        <v>219</v>
      </c>
      <c r="E1805" s="16" t="s">
        <v>164</v>
      </c>
      <c r="F1805" s="16" t="s">
        <v>165</v>
      </c>
      <c r="G1805" s="8" t="s">
        <v>243</v>
      </c>
      <c r="H1805" s="8" t="s">
        <v>244</v>
      </c>
      <c r="I1805" s="16" t="s">
        <v>138</v>
      </c>
      <c r="J1805" s="16">
        <v>17.986249999999998</v>
      </c>
      <c r="K1805" s="16">
        <v>-96.830511999999999</v>
      </c>
      <c r="L1805" s="16" t="str">
        <f>HYPERLINK("https://maps.google.com/?q=17.98625,-96.830512", "🔗 Ver Mapa")</f>
        <v>🔗 Ver Mapa</v>
      </c>
    </row>
    <row r="1806" spans="1:12" ht="43.5" x14ac:dyDescent="0.35">
      <c r="A1806" s="6" t="s">
        <v>7</v>
      </c>
      <c r="B1806" s="6" t="s">
        <v>20</v>
      </c>
      <c r="C1806" s="6" t="s">
        <v>1292</v>
      </c>
      <c r="D1806" s="11" t="s">
        <v>219</v>
      </c>
      <c r="E1806" s="17" t="s">
        <v>164</v>
      </c>
      <c r="F1806" s="17" t="s">
        <v>165</v>
      </c>
      <c r="G1806" s="11" t="s">
        <v>243</v>
      </c>
      <c r="H1806" s="11" t="s">
        <v>244</v>
      </c>
      <c r="I1806" s="17" t="s">
        <v>138</v>
      </c>
      <c r="J1806" s="17">
        <v>17.98687</v>
      </c>
      <c r="K1806" s="17">
        <v>-96.831410000000005</v>
      </c>
      <c r="L1806" s="17" t="str">
        <f>HYPERLINK("https://maps.google.com/?q=17.98687,-96.83141", "🔗 Ver Mapa")</f>
        <v>🔗 Ver Mapa</v>
      </c>
    </row>
    <row r="1807" spans="1:12" ht="43.5" x14ac:dyDescent="0.35">
      <c r="A1807" s="5" t="s">
        <v>7</v>
      </c>
      <c r="B1807" s="5" t="s">
        <v>20</v>
      </c>
      <c r="C1807" s="5" t="s">
        <v>1292</v>
      </c>
      <c r="D1807" s="8" t="s">
        <v>219</v>
      </c>
      <c r="E1807" s="16" t="s">
        <v>164</v>
      </c>
      <c r="F1807" s="16" t="s">
        <v>165</v>
      </c>
      <c r="G1807" s="8" t="s">
        <v>243</v>
      </c>
      <c r="H1807" s="8" t="s">
        <v>244</v>
      </c>
      <c r="I1807" s="16" t="s">
        <v>138</v>
      </c>
      <c r="J1807" s="16">
        <v>17.987005</v>
      </c>
      <c r="K1807" s="16">
        <v>-96.830759999999998</v>
      </c>
      <c r="L1807" s="16" t="str">
        <f>HYPERLINK("https://maps.google.com/?q=17.987005,-96.83076", "🔗 Ver Mapa")</f>
        <v>🔗 Ver Mapa</v>
      </c>
    </row>
    <row r="1808" spans="1:12" ht="43.5" x14ac:dyDescent="0.35">
      <c r="A1808" s="6" t="s">
        <v>7</v>
      </c>
      <c r="B1808" s="6" t="s">
        <v>20</v>
      </c>
      <c r="C1808" s="6" t="s">
        <v>1292</v>
      </c>
      <c r="D1808" s="11" t="s">
        <v>219</v>
      </c>
      <c r="E1808" s="17" t="s">
        <v>164</v>
      </c>
      <c r="F1808" s="17" t="s">
        <v>165</v>
      </c>
      <c r="G1808" s="11" t="s">
        <v>243</v>
      </c>
      <c r="H1808" s="11" t="s">
        <v>244</v>
      </c>
      <c r="I1808" s="17" t="s">
        <v>138</v>
      </c>
      <c r="J1808" s="17">
        <v>17.987010000000001</v>
      </c>
      <c r="K1808" s="17">
        <v>-96.832009999999997</v>
      </c>
      <c r="L1808" s="17" t="str">
        <f>HYPERLINK("https://maps.google.com/?q=17.98701,-96.83201", "🔗 Ver Mapa")</f>
        <v>🔗 Ver Mapa</v>
      </c>
    </row>
    <row r="1809" spans="1:12" ht="43.5" x14ac:dyDescent="0.35">
      <c r="A1809" s="5" t="s">
        <v>7</v>
      </c>
      <c r="B1809" s="5" t="s">
        <v>20</v>
      </c>
      <c r="C1809" s="5" t="s">
        <v>1292</v>
      </c>
      <c r="D1809" s="8" t="s">
        <v>219</v>
      </c>
      <c r="E1809" s="16" t="s">
        <v>164</v>
      </c>
      <c r="F1809" s="16" t="s">
        <v>165</v>
      </c>
      <c r="G1809" s="8" t="s">
        <v>243</v>
      </c>
      <c r="H1809" s="8" t="s">
        <v>244</v>
      </c>
      <c r="I1809" s="16" t="s">
        <v>138</v>
      </c>
      <c r="J1809" s="16">
        <v>17.987380000000002</v>
      </c>
      <c r="K1809" s="16">
        <v>-96.831180000000003</v>
      </c>
      <c r="L1809" s="16" t="str">
        <f>HYPERLINK("https://maps.google.com/?q=17.98738,-96.83118", "🔗 Ver Mapa")</f>
        <v>🔗 Ver Mapa</v>
      </c>
    </row>
    <row r="1810" spans="1:12" ht="43.5" x14ac:dyDescent="0.35">
      <c r="A1810" s="6" t="s">
        <v>7</v>
      </c>
      <c r="B1810" s="6" t="s">
        <v>20</v>
      </c>
      <c r="C1810" s="6" t="s">
        <v>1292</v>
      </c>
      <c r="D1810" s="11" t="s">
        <v>219</v>
      </c>
      <c r="E1810" s="17" t="s">
        <v>164</v>
      </c>
      <c r="F1810" s="17" t="s">
        <v>165</v>
      </c>
      <c r="G1810" s="11" t="s">
        <v>243</v>
      </c>
      <c r="H1810" s="11" t="s">
        <v>244</v>
      </c>
      <c r="I1810" s="17" t="s">
        <v>138</v>
      </c>
      <c r="J1810" s="17">
        <v>17.98807</v>
      </c>
      <c r="K1810" s="17">
        <v>-96.832639999999998</v>
      </c>
      <c r="L1810" s="17" t="str">
        <f>HYPERLINK("https://maps.google.com/?q=17.98807,-96.83264", "🔗 Ver Mapa")</f>
        <v>🔗 Ver Mapa</v>
      </c>
    </row>
    <row r="1811" spans="1:12" ht="43.5" x14ac:dyDescent="0.35">
      <c r="A1811" s="5" t="s">
        <v>7</v>
      </c>
      <c r="B1811" s="5" t="s">
        <v>20</v>
      </c>
      <c r="C1811" s="5" t="s">
        <v>1292</v>
      </c>
      <c r="D1811" s="8" t="s">
        <v>219</v>
      </c>
      <c r="E1811" s="16" t="s">
        <v>164</v>
      </c>
      <c r="F1811" s="16" t="s">
        <v>165</v>
      </c>
      <c r="G1811" s="8" t="s">
        <v>243</v>
      </c>
      <c r="H1811" s="8" t="s">
        <v>244</v>
      </c>
      <c r="I1811" s="16" t="s">
        <v>138</v>
      </c>
      <c r="J1811" s="16">
        <v>17.988220999999999</v>
      </c>
      <c r="K1811" s="16">
        <v>-96.831321000000003</v>
      </c>
      <c r="L1811" s="16" t="str">
        <f>HYPERLINK("https://maps.google.com/?q=17.988221,-96.831321", "🔗 Ver Mapa")</f>
        <v>🔗 Ver Mapa</v>
      </c>
    </row>
    <row r="1812" spans="1:12" ht="43.5" x14ac:dyDescent="0.35">
      <c r="A1812" s="6" t="s">
        <v>7</v>
      </c>
      <c r="B1812" s="6" t="s">
        <v>20</v>
      </c>
      <c r="C1812" s="6" t="s">
        <v>1292</v>
      </c>
      <c r="D1812" s="11" t="s">
        <v>219</v>
      </c>
      <c r="E1812" s="17" t="s">
        <v>164</v>
      </c>
      <c r="F1812" s="17" t="s">
        <v>165</v>
      </c>
      <c r="G1812" s="11" t="s">
        <v>243</v>
      </c>
      <c r="H1812" s="11" t="s">
        <v>244</v>
      </c>
      <c r="I1812" s="17" t="s">
        <v>138</v>
      </c>
      <c r="J1812" s="17">
        <v>17.98836</v>
      </c>
      <c r="K1812" s="17">
        <v>-96.832120000000003</v>
      </c>
      <c r="L1812" s="17" t="str">
        <f>HYPERLINK("https://maps.google.com/?q=17.98836,-96.83212", "🔗 Ver Mapa")</f>
        <v>🔗 Ver Mapa</v>
      </c>
    </row>
    <row r="1813" spans="1:12" ht="43.5" x14ac:dyDescent="0.35">
      <c r="A1813" s="5" t="s">
        <v>7</v>
      </c>
      <c r="B1813" s="5" t="s">
        <v>20</v>
      </c>
      <c r="C1813" s="5" t="s">
        <v>1292</v>
      </c>
      <c r="D1813" s="8" t="s">
        <v>219</v>
      </c>
      <c r="E1813" s="16" t="s">
        <v>164</v>
      </c>
      <c r="F1813" s="16" t="s">
        <v>165</v>
      </c>
      <c r="G1813" s="8" t="s">
        <v>243</v>
      </c>
      <c r="H1813" s="8" t="s">
        <v>244</v>
      </c>
      <c r="I1813" s="16" t="s">
        <v>138</v>
      </c>
      <c r="J1813" s="16">
        <v>17.98864</v>
      </c>
      <c r="K1813" s="16">
        <v>-96.831659999999999</v>
      </c>
      <c r="L1813" s="16" t="str">
        <f>HYPERLINK("https://maps.google.com/?q=17.98864,-96.83166", "🔗 Ver Mapa")</f>
        <v>🔗 Ver Mapa</v>
      </c>
    </row>
    <row r="1814" spans="1:12" ht="43.5" x14ac:dyDescent="0.35">
      <c r="A1814" s="6" t="s">
        <v>7</v>
      </c>
      <c r="B1814" s="6" t="s">
        <v>20</v>
      </c>
      <c r="C1814" s="6" t="s">
        <v>1292</v>
      </c>
      <c r="D1814" s="11" t="s">
        <v>219</v>
      </c>
      <c r="E1814" s="17" t="s">
        <v>164</v>
      </c>
      <c r="F1814" s="17" t="s">
        <v>165</v>
      </c>
      <c r="G1814" s="11" t="s">
        <v>243</v>
      </c>
      <c r="H1814" s="11" t="s">
        <v>244</v>
      </c>
      <c r="I1814" s="17" t="s">
        <v>138</v>
      </c>
      <c r="J1814" s="17">
        <v>17.988689999999998</v>
      </c>
      <c r="K1814" s="17">
        <v>-96.831202000000005</v>
      </c>
      <c r="L1814" s="17" t="str">
        <f>HYPERLINK("https://maps.google.com/?q=17.98869,-96.831202", "🔗 Ver Mapa")</f>
        <v>🔗 Ver Mapa</v>
      </c>
    </row>
    <row r="1815" spans="1:12" ht="43.5" x14ac:dyDescent="0.35">
      <c r="A1815" s="5" t="s">
        <v>7</v>
      </c>
      <c r="B1815" s="5" t="s">
        <v>20</v>
      </c>
      <c r="C1815" s="5" t="s">
        <v>1292</v>
      </c>
      <c r="D1815" s="8" t="s">
        <v>219</v>
      </c>
      <c r="E1815" s="16" t="s">
        <v>164</v>
      </c>
      <c r="F1815" s="16" t="s">
        <v>165</v>
      </c>
      <c r="G1815" s="8" t="s">
        <v>243</v>
      </c>
      <c r="H1815" s="8" t="s">
        <v>244</v>
      </c>
      <c r="I1815" s="16" t="s">
        <v>138</v>
      </c>
      <c r="J1815" s="16">
        <v>17.988980000000002</v>
      </c>
      <c r="K1815" s="16">
        <v>-96.836259999999996</v>
      </c>
      <c r="L1815" s="16" t="str">
        <f>HYPERLINK("https://maps.google.com/?q=17.98898,-96.83626", "🔗 Ver Mapa")</f>
        <v>🔗 Ver Mapa</v>
      </c>
    </row>
    <row r="1816" spans="1:12" ht="43.5" x14ac:dyDescent="0.35">
      <c r="A1816" s="6" t="s">
        <v>7</v>
      </c>
      <c r="B1816" s="6" t="s">
        <v>20</v>
      </c>
      <c r="C1816" s="6" t="s">
        <v>1292</v>
      </c>
      <c r="D1816" s="11" t="s">
        <v>219</v>
      </c>
      <c r="E1816" s="17" t="s">
        <v>164</v>
      </c>
      <c r="F1816" s="17" t="s">
        <v>165</v>
      </c>
      <c r="G1816" s="11" t="s">
        <v>243</v>
      </c>
      <c r="H1816" s="11" t="s">
        <v>244</v>
      </c>
      <c r="I1816" s="17" t="s">
        <v>138</v>
      </c>
      <c r="J1816" s="17">
        <v>17.98901</v>
      </c>
      <c r="K1816" s="17">
        <v>-96.836290000000005</v>
      </c>
      <c r="L1816" s="17" t="str">
        <f>HYPERLINK("https://maps.google.com/?q=17.98901,-96.83629", "🔗 Ver Mapa")</f>
        <v>🔗 Ver Mapa</v>
      </c>
    </row>
    <row r="1817" spans="1:12" ht="43.5" x14ac:dyDescent="0.35">
      <c r="A1817" s="5" t="s">
        <v>7</v>
      </c>
      <c r="B1817" s="5" t="s">
        <v>20</v>
      </c>
      <c r="C1817" s="5" t="s">
        <v>1293</v>
      </c>
      <c r="D1817" s="8" t="s">
        <v>219</v>
      </c>
      <c r="E1817" s="16" t="s">
        <v>164</v>
      </c>
      <c r="F1817" s="16" t="s">
        <v>165</v>
      </c>
      <c r="G1817" s="8" t="s">
        <v>243</v>
      </c>
      <c r="H1817" s="8" t="s">
        <v>1294</v>
      </c>
      <c r="I1817" s="16" t="s">
        <v>138</v>
      </c>
      <c r="J1817" s="16">
        <v>17.986725</v>
      </c>
      <c r="K1817" s="16">
        <v>-96.840485999999999</v>
      </c>
      <c r="L1817" s="16" t="str">
        <f>HYPERLINK("https://maps.google.com/?q=17.986725,-96.840486", "🔗 Ver Mapa")</f>
        <v>🔗 Ver Mapa</v>
      </c>
    </row>
    <row r="1818" spans="1:12" ht="43.5" x14ac:dyDescent="0.35">
      <c r="A1818" s="6" t="s">
        <v>7</v>
      </c>
      <c r="B1818" s="6" t="s">
        <v>20</v>
      </c>
      <c r="C1818" s="6" t="s">
        <v>1293</v>
      </c>
      <c r="D1818" s="11" t="s">
        <v>219</v>
      </c>
      <c r="E1818" s="17" t="s">
        <v>164</v>
      </c>
      <c r="F1818" s="17" t="s">
        <v>165</v>
      </c>
      <c r="G1818" s="11" t="s">
        <v>243</v>
      </c>
      <c r="H1818" s="11" t="s">
        <v>1294</v>
      </c>
      <c r="I1818" s="17" t="s">
        <v>138</v>
      </c>
      <c r="J1818" s="17">
        <v>17.987238999999999</v>
      </c>
      <c r="K1818" s="17">
        <v>-96.840441999999996</v>
      </c>
      <c r="L1818" s="17" t="str">
        <f>HYPERLINK("https://maps.google.com/?q=17.987239,-96.840442", "🔗 Ver Mapa")</f>
        <v>🔗 Ver Mapa</v>
      </c>
    </row>
    <row r="1819" spans="1:12" ht="43.5" x14ac:dyDescent="0.35">
      <c r="A1819" s="5" t="s">
        <v>7</v>
      </c>
      <c r="B1819" s="5" t="s">
        <v>20</v>
      </c>
      <c r="C1819" s="5" t="s">
        <v>1293</v>
      </c>
      <c r="D1819" s="8" t="s">
        <v>219</v>
      </c>
      <c r="E1819" s="16" t="s">
        <v>164</v>
      </c>
      <c r="F1819" s="16" t="s">
        <v>165</v>
      </c>
      <c r="G1819" s="8" t="s">
        <v>243</v>
      </c>
      <c r="H1819" s="8" t="s">
        <v>1294</v>
      </c>
      <c r="I1819" s="16" t="s">
        <v>138</v>
      </c>
      <c r="J1819" s="16">
        <v>17.987655</v>
      </c>
      <c r="K1819" s="16">
        <v>-96.840428000000003</v>
      </c>
      <c r="L1819" s="16" t="str">
        <f>HYPERLINK("https://maps.google.com/?q=17.987655,-96.840428", "🔗 Ver Mapa")</f>
        <v>🔗 Ver Mapa</v>
      </c>
    </row>
    <row r="1820" spans="1:12" ht="43.5" x14ac:dyDescent="0.35">
      <c r="A1820" s="6" t="s">
        <v>7</v>
      </c>
      <c r="B1820" s="6" t="s">
        <v>20</v>
      </c>
      <c r="C1820" s="6" t="s">
        <v>1293</v>
      </c>
      <c r="D1820" s="11" t="s">
        <v>219</v>
      </c>
      <c r="E1820" s="17" t="s">
        <v>164</v>
      </c>
      <c r="F1820" s="17" t="s">
        <v>165</v>
      </c>
      <c r="G1820" s="11" t="s">
        <v>243</v>
      </c>
      <c r="H1820" s="11" t="s">
        <v>1294</v>
      </c>
      <c r="I1820" s="17" t="s">
        <v>138</v>
      </c>
      <c r="J1820" s="17">
        <v>17.987985999999999</v>
      </c>
      <c r="K1820" s="17">
        <v>-96.840159</v>
      </c>
      <c r="L1820" s="17" t="str">
        <f>HYPERLINK("https://maps.google.com/?q=17.987986,-96.840159", "🔗 Ver Mapa")</f>
        <v>🔗 Ver Mapa</v>
      </c>
    </row>
    <row r="1821" spans="1:12" ht="43.5" x14ac:dyDescent="0.35">
      <c r="A1821" s="5" t="s">
        <v>7</v>
      </c>
      <c r="B1821" s="5" t="s">
        <v>20</v>
      </c>
      <c r="C1821" s="5" t="s">
        <v>1293</v>
      </c>
      <c r="D1821" s="8" t="s">
        <v>219</v>
      </c>
      <c r="E1821" s="16" t="s">
        <v>164</v>
      </c>
      <c r="F1821" s="16" t="s">
        <v>165</v>
      </c>
      <c r="G1821" s="8" t="s">
        <v>243</v>
      </c>
      <c r="H1821" s="8" t="s">
        <v>1294</v>
      </c>
      <c r="I1821" s="16" t="s">
        <v>138</v>
      </c>
      <c r="J1821" s="16">
        <v>17.988026999999999</v>
      </c>
      <c r="K1821" s="16">
        <v>-96.840574000000004</v>
      </c>
      <c r="L1821" s="16" t="str">
        <f>HYPERLINK("https://maps.google.com/?q=17.988027,-96.840574", "🔗 Ver Mapa")</f>
        <v>🔗 Ver Mapa</v>
      </c>
    </row>
    <row r="1822" spans="1:12" ht="43.5" x14ac:dyDescent="0.35">
      <c r="A1822" s="6" t="s">
        <v>7</v>
      </c>
      <c r="B1822" s="6" t="s">
        <v>20</v>
      </c>
      <c r="C1822" s="6" t="s">
        <v>1293</v>
      </c>
      <c r="D1822" s="11" t="s">
        <v>219</v>
      </c>
      <c r="E1822" s="17" t="s">
        <v>164</v>
      </c>
      <c r="F1822" s="17" t="s">
        <v>165</v>
      </c>
      <c r="G1822" s="11" t="s">
        <v>243</v>
      </c>
      <c r="H1822" s="11" t="s">
        <v>1294</v>
      </c>
      <c r="I1822" s="17" t="s">
        <v>138</v>
      </c>
      <c r="J1822" s="17">
        <v>17.988385000000001</v>
      </c>
      <c r="K1822" s="17">
        <v>-96.840343000000004</v>
      </c>
      <c r="L1822" s="17" t="str">
        <f>HYPERLINK("https://maps.google.com/?q=17.988385,-96.840343", "🔗 Ver Mapa")</f>
        <v>🔗 Ver Mapa</v>
      </c>
    </row>
    <row r="1823" spans="1:12" ht="43.5" x14ac:dyDescent="0.35">
      <c r="A1823" s="5" t="s">
        <v>291</v>
      </c>
      <c r="B1823" s="5" t="s">
        <v>292</v>
      </c>
      <c r="C1823" s="5" t="s">
        <v>1295</v>
      </c>
      <c r="D1823" s="8" t="s">
        <v>64</v>
      </c>
      <c r="E1823" s="16" t="s">
        <v>75</v>
      </c>
      <c r="F1823" s="16" t="s">
        <v>86</v>
      </c>
      <c r="G1823" s="8" t="s">
        <v>379</v>
      </c>
      <c r="H1823" s="8" t="s">
        <v>380</v>
      </c>
      <c r="I1823" s="16" t="s">
        <v>138</v>
      </c>
      <c r="J1823" s="16">
        <v>17.076900517746001</v>
      </c>
      <c r="K1823" s="16">
        <v>-96.747802021856003</v>
      </c>
      <c r="L1823" s="16" t="str">
        <f>HYPERLINK("https://maps.google.com/?q=17.076900517746,-96.747802021856", "🔗 Ver Mapa")</f>
        <v>🔗 Ver Mapa</v>
      </c>
    </row>
    <row r="1824" spans="1:12" ht="58" x14ac:dyDescent="0.35">
      <c r="A1824" s="6" t="s">
        <v>291</v>
      </c>
      <c r="B1824" s="6" t="s">
        <v>292</v>
      </c>
      <c r="C1824" s="6" t="s">
        <v>1296</v>
      </c>
      <c r="D1824" s="11" t="s">
        <v>294</v>
      </c>
      <c r="E1824" s="17" t="s">
        <v>75</v>
      </c>
      <c r="F1824" s="17" t="s">
        <v>86</v>
      </c>
      <c r="G1824" s="11" t="s">
        <v>103</v>
      </c>
      <c r="H1824" s="11" t="s">
        <v>125</v>
      </c>
      <c r="I1824" s="17" t="s">
        <v>296</v>
      </c>
      <c r="J1824" s="17">
        <v>17.060703840799999</v>
      </c>
      <c r="K1824" s="17">
        <v>-96.713481977868994</v>
      </c>
      <c r="L1824" s="17" t="str">
        <f>HYPERLINK("https://maps.google.com/?q=17.0607038408,-96.713481977869", "🔗 Ver Mapa")</f>
        <v>🔗 Ver Mapa</v>
      </c>
    </row>
    <row r="1825" spans="1:12" ht="58" x14ac:dyDescent="0.35">
      <c r="A1825" s="5" t="s">
        <v>291</v>
      </c>
      <c r="B1825" s="5" t="s">
        <v>292</v>
      </c>
      <c r="C1825" s="5" t="s">
        <v>1296</v>
      </c>
      <c r="D1825" s="8" t="s">
        <v>294</v>
      </c>
      <c r="E1825" s="16" t="s">
        <v>75</v>
      </c>
      <c r="F1825" s="16" t="s">
        <v>86</v>
      </c>
      <c r="G1825" s="8" t="s">
        <v>103</v>
      </c>
      <c r="H1825" s="8" t="s">
        <v>125</v>
      </c>
      <c r="I1825" s="16" t="s">
        <v>296</v>
      </c>
      <c r="J1825" s="16">
        <v>17.061096148899999</v>
      </c>
      <c r="K1825" s="16">
        <v>-96.712261414799997</v>
      </c>
      <c r="L1825" s="16" t="str">
        <f>HYPERLINK("https://maps.google.com/?q=17.0610961489,-96.7122614148", "🔗 Ver Mapa")</f>
        <v>🔗 Ver Mapa</v>
      </c>
    </row>
    <row r="1826" spans="1:12" ht="58" x14ac:dyDescent="0.35">
      <c r="A1826" s="6" t="s">
        <v>291</v>
      </c>
      <c r="B1826" s="6" t="s">
        <v>292</v>
      </c>
      <c r="C1826" s="6" t="s">
        <v>1296</v>
      </c>
      <c r="D1826" s="11" t="s">
        <v>294</v>
      </c>
      <c r="E1826" s="17" t="s">
        <v>75</v>
      </c>
      <c r="F1826" s="17" t="s">
        <v>86</v>
      </c>
      <c r="G1826" s="11" t="s">
        <v>103</v>
      </c>
      <c r="H1826" s="11" t="s">
        <v>125</v>
      </c>
      <c r="I1826" s="17" t="s">
        <v>296</v>
      </c>
      <c r="J1826" s="17">
        <v>17.061096148946</v>
      </c>
      <c r="K1826" s="17">
        <v>-96.712261414832</v>
      </c>
      <c r="L1826" s="17" t="str">
        <f>HYPERLINK("https://maps.google.com/?q=17.061096148946,-96.712261414832", "🔗 Ver Mapa")</f>
        <v>🔗 Ver Mapa</v>
      </c>
    </row>
    <row r="1827" spans="1:12" ht="58" x14ac:dyDescent="0.35">
      <c r="A1827" s="5" t="s">
        <v>291</v>
      </c>
      <c r="B1827" s="5" t="s">
        <v>292</v>
      </c>
      <c r="C1827" s="5" t="s">
        <v>1296</v>
      </c>
      <c r="D1827" s="8" t="s">
        <v>294</v>
      </c>
      <c r="E1827" s="16" t="s">
        <v>75</v>
      </c>
      <c r="F1827" s="16" t="s">
        <v>86</v>
      </c>
      <c r="G1827" s="8" t="s">
        <v>103</v>
      </c>
      <c r="H1827" s="8" t="s">
        <v>125</v>
      </c>
      <c r="I1827" s="16" t="s">
        <v>296</v>
      </c>
      <c r="J1827" s="16">
        <v>17.061243588749999</v>
      </c>
      <c r="K1827" s="16">
        <v>-96.711751795119994</v>
      </c>
      <c r="L1827" s="16" t="str">
        <f>HYPERLINK("https://maps.google.com/?q=17.06124358875,-96.71175179512", "🔗 Ver Mapa")</f>
        <v>🔗 Ver Mapa</v>
      </c>
    </row>
    <row r="1828" spans="1:12" ht="58" x14ac:dyDescent="0.35">
      <c r="A1828" s="6" t="s">
        <v>291</v>
      </c>
      <c r="B1828" s="6" t="s">
        <v>292</v>
      </c>
      <c r="C1828" s="6" t="s">
        <v>1296</v>
      </c>
      <c r="D1828" s="11" t="s">
        <v>294</v>
      </c>
      <c r="E1828" s="17" t="s">
        <v>75</v>
      </c>
      <c r="F1828" s="17" t="s">
        <v>86</v>
      </c>
      <c r="G1828" s="11" t="s">
        <v>103</v>
      </c>
      <c r="H1828" s="11" t="s">
        <v>125</v>
      </c>
      <c r="I1828" s="17" t="s">
        <v>296</v>
      </c>
      <c r="J1828" s="17">
        <v>17.061448315900002</v>
      </c>
      <c r="K1828" s="17">
        <v>-96.712364633199996</v>
      </c>
      <c r="L1828" s="17" t="str">
        <f>HYPERLINK("https://maps.google.com/?q=17.0614483159,-96.7123646332", "🔗 Ver Mapa")</f>
        <v>🔗 Ver Mapa</v>
      </c>
    </row>
    <row r="1829" spans="1:12" ht="43.5" x14ac:dyDescent="0.35">
      <c r="A1829" s="5" t="s">
        <v>2</v>
      </c>
      <c r="B1829" s="5" t="s">
        <v>15</v>
      </c>
      <c r="C1829" s="5" t="s">
        <v>1297</v>
      </c>
      <c r="D1829" s="8" t="s">
        <v>62</v>
      </c>
      <c r="E1829" s="16" t="s">
        <v>75</v>
      </c>
      <c r="F1829" s="16" t="s">
        <v>86</v>
      </c>
      <c r="G1829" s="8" t="s">
        <v>1209</v>
      </c>
      <c r="H1829" s="8" t="s">
        <v>1210</v>
      </c>
      <c r="I1829" s="16" t="s">
        <v>138</v>
      </c>
      <c r="J1829" s="16">
        <v>16.992752756396001</v>
      </c>
      <c r="K1829" s="16">
        <v>-96.754537808530003</v>
      </c>
      <c r="L1829" s="16" t="str">
        <f>HYPERLINK("https://maps.google.com/?q=16.992752756396,-96.75453780853", "🔗 Ver Mapa")</f>
        <v>🔗 Ver Mapa</v>
      </c>
    </row>
    <row r="1830" spans="1:12" ht="43.5" x14ac:dyDescent="0.35">
      <c r="A1830" s="6" t="s">
        <v>2</v>
      </c>
      <c r="B1830" s="6" t="s">
        <v>15</v>
      </c>
      <c r="C1830" s="6" t="s">
        <v>1298</v>
      </c>
      <c r="D1830" s="11" t="s">
        <v>62</v>
      </c>
      <c r="E1830" s="17" t="s">
        <v>75</v>
      </c>
      <c r="F1830" s="17" t="s">
        <v>86</v>
      </c>
      <c r="G1830" s="11" t="s">
        <v>112</v>
      </c>
      <c r="H1830" s="11" t="s">
        <v>1193</v>
      </c>
      <c r="I1830" s="17" t="s">
        <v>138</v>
      </c>
      <c r="J1830" s="17">
        <v>17.023818726986001</v>
      </c>
      <c r="K1830" s="17">
        <v>-96.716464505608002</v>
      </c>
      <c r="L1830" s="17" t="str">
        <f>HYPERLINK("https://maps.google.com/?q=17.023818726986,-96.716464505608", "🔗 Ver Mapa")</f>
        <v>🔗 Ver Mapa</v>
      </c>
    </row>
    <row r="1831" spans="1:12" ht="72.5" x14ac:dyDescent="0.35">
      <c r="A1831" s="5" t="s">
        <v>1299</v>
      </c>
      <c r="B1831" s="5" t="s">
        <v>1300</v>
      </c>
      <c r="C1831" s="5" t="s">
        <v>1301</v>
      </c>
      <c r="D1831" s="8" t="s">
        <v>1251</v>
      </c>
      <c r="E1831" s="16" t="s">
        <v>75</v>
      </c>
      <c r="F1831" s="16" t="s">
        <v>1214</v>
      </c>
      <c r="G1831" s="8" t="s">
        <v>1215</v>
      </c>
      <c r="H1831" s="8" t="s">
        <v>1216</v>
      </c>
      <c r="I1831" s="16" t="s">
        <v>139</v>
      </c>
      <c r="J1831" s="16">
        <v>16.73760281849</v>
      </c>
      <c r="K1831" s="16">
        <v>-96.315310724569002</v>
      </c>
      <c r="L1831" s="16" t="str">
        <f>HYPERLINK("https://maps.google.com/?q=16.73760281849,-96.315310724569", "🔗 Ver Mapa")</f>
        <v>🔗 Ver Mapa</v>
      </c>
    </row>
    <row r="1832" spans="1:12" ht="72.5" x14ac:dyDescent="0.35">
      <c r="A1832" s="6" t="s">
        <v>1299</v>
      </c>
      <c r="B1832" s="6" t="s">
        <v>1300</v>
      </c>
      <c r="C1832" s="6" t="s">
        <v>1301</v>
      </c>
      <c r="D1832" s="11" t="s">
        <v>1251</v>
      </c>
      <c r="E1832" s="17" t="s">
        <v>75</v>
      </c>
      <c r="F1832" s="17" t="s">
        <v>1214</v>
      </c>
      <c r="G1832" s="11" t="s">
        <v>1215</v>
      </c>
      <c r="H1832" s="11" t="s">
        <v>1216</v>
      </c>
      <c r="I1832" s="17" t="s">
        <v>139</v>
      </c>
      <c r="J1832" s="17">
        <v>16.738140332924999</v>
      </c>
      <c r="K1832" s="17">
        <v>-96.314863686484003</v>
      </c>
      <c r="L1832" s="17" t="str">
        <f>HYPERLINK("https://maps.google.com/?q=16.738140332925,-96.314863686484", "🔗 Ver Mapa")</f>
        <v>🔗 Ver Mapa</v>
      </c>
    </row>
    <row r="1833" spans="1:12" ht="72.5" x14ac:dyDescent="0.35">
      <c r="A1833" s="5" t="s">
        <v>1299</v>
      </c>
      <c r="B1833" s="5" t="s">
        <v>1300</v>
      </c>
      <c r="C1833" s="5" t="s">
        <v>1301</v>
      </c>
      <c r="D1833" s="8" t="s">
        <v>1251</v>
      </c>
      <c r="E1833" s="16" t="s">
        <v>75</v>
      </c>
      <c r="F1833" s="16" t="s">
        <v>1214</v>
      </c>
      <c r="G1833" s="8" t="s">
        <v>1215</v>
      </c>
      <c r="H1833" s="8" t="s">
        <v>1216</v>
      </c>
      <c r="I1833" s="16" t="s">
        <v>139</v>
      </c>
      <c r="J1833" s="16">
        <v>16.738157378499999</v>
      </c>
      <c r="K1833" s="16">
        <v>-96.316507021381994</v>
      </c>
      <c r="L1833" s="16" t="str">
        <f>HYPERLINK("https://maps.google.com/?q=16.7381573785,-96.316507021382", "🔗 Ver Mapa")</f>
        <v>🔗 Ver Mapa</v>
      </c>
    </row>
    <row r="1834" spans="1:12" ht="72.5" x14ac:dyDescent="0.35">
      <c r="A1834" s="6" t="s">
        <v>1299</v>
      </c>
      <c r="B1834" s="6" t="s">
        <v>1300</v>
      </c>
      <c r="C1834" s="6" t="s">
        <v>1301</v>
      </c>
      <c r="D1834" s="11" t="s">
        <v>1251</v>
      </c>
      <c r="E1834" s="17" t="s">
        <v>75</v>
      </c>
      <c r="F1834" s="17" t="s">
        <v>1214</v>
      </c>
      <c r="G1834" s="11" t="s">
        <v>1215</v>
      </c>
      <c r="H1834" s="11" t="s">
        <v>1216</v>
      </c>
      <c r="I1834" s="17" t="s">
        <v>139</v>
      </c>
      <c r="J1834" s="17">
        <v>16.738389451922998</v>
      </c>
      <c r="K1834" s="17">
        <v>-96.315587922804994</v>
      </c>
      <c r="L1834" s="17" t="str">
        <f>HYPERLINK("https://maps.google.com/?q=16.738389451923,-96.315587922805", "🔗 Ver Mapa")</f>
        <v>🔗 Ver Mapa</v>
      </c>
    </row>
    <row r="1835" spans="1:12" ht="72.5" x14ac:dyDescent="0.35">
      <c r="A1835" s="5" t="s">
        <v>1299</v>
      </c>
      <c r="B1835" s="5" t="s">
        <v>1300</v>
      </c>
      <c r="C1835" s="5" t="s">
        <v>1301</v>
      </c>
      <c r="D1835" s="8" t="s">
        <v>1251</v>
      </c>
      <c r="E1835" s="16" t="s">
        <v>75</v>
      </c>
      <c r="F1835" s="16" t="s">
        <v>1214</v>
      </c>
      <c r="G1835" s="8" t="s">
        <v>1215</v>
      </c>
      <c r="H1835" s="8" t="s">
        <v>1216</v>
      </c>
      <c r="I1835" s="16" t="s">
        <v>139</v>
      </c>
      <c r="J1835" s="16">
        <v>16.738467766608</v>
      </c>
      <c r="K1835" s="16">
        <v>-96.315234864702006</v>
      </c>
      <c r="L1835" s="16" t="str">
        <f>HYPERLINK("https://maps.google.com/?q=16.738467766608,-96.315234864702", "🔗 Ver Mapa")</f>
        <v>🔗 Ver Mapa</v>
      </c>
    </row>
    <row r="1836" spans="1:12" ht="72.5" x14ac:dyDescent="0.35">
      <c r="A1836" s="6" t="s">
        <v>1299</v>
      </c>
      <c r="B1836" s="6" t="s">
        <v>1300</v>
      </c>
      <c r="C1836" s="6" t="s">
        <v>1301</v>
      </c>
      <c r="D1836" s="11" t="s">
        <v>1251</v>
      </c>
      <c r="E1836" s="17" t="s">
        <v>75</v>
      </c>
      <c r="F1836" s="17" t="s">
        <v>1214</v>
      </c>
      <c r="G1836" s="11" t="s">
        <v>1215</v>
      </c>
      <c r="H1836" s="11" t="s">
        <v>1216</v>
      </c>
      <c r="I1836" s="17" t="s">
        <v>139</v>
      </c>
      <c r="J1836" s="17">
        <v>16.738511024657001</v>
      </c>
      <c r="K1836" s="17">
        <v>-96.315331832555003</v>
      </c>
      <c r="L1836" s="17" t="str">
        <f>HYPERLINK("https://maps.google.com/?q=16.738511024657,-96.315331832555", "🔗 Ver Mapa")</f>
        <v>🔗 Ver Mapa</v>
      </c>
    </row>
    <row r="1837" spans="1:12" ht="72.5" x14ac:dyDescent="0.35">
      <c r="A1837" s="5" t="s">
        <v>1299</v>
      </c>
      <c r="B1837" s="5" t="s">
        <v>1300</v>
      </c>
      <c r="C1837" s="5" t="s">
        <v>1301</v>
      </c>
      <c r="D1837" s="8" t="s">
        <v>1251</v>
      </c>
      <c r="E1837" s="16" t="s">
        <v>75</v>
      </c>
      <c r="F1837" s="16" t="s">
        <v>1214</v>
      </c>
      <c r="G1837" s="8" t="s">
        <v>1215</v>
      </c>
      <c r="H1837" s="8" t="s">
        <v>1216</v>
      </c>
      <c r="I1837" s="16" t="s">
        <v>139</v>
      </c>
      <c r="J1837" s="16">
        <v>17.020831000000001</v>
      </c>
      <c r="K1837" s="16">
        <v>-96.716481000000002</v>
      </c>
      <c r="L1837" s="16" t="str">
        <f>HYPERLINK("https://maps.google.com/?q=17.020831,-96.716481", "🔗 Ver Mapa")</f>
        <v>🔗 Ver Mapa</v>
      </c>
    </row>
    <row r="1838" spans="1:12" ht="72.5" x14ac:dyDescent="0.35">
      <c r="A1838" s="6" t="s">
        <v>1299</v>
      </c>
      <c r="B1838" s="6" t="s">
        <v>1300</v>
      </c>
      <c r="C1838" s="6" t="s">
        <v>1301</v>
      </c>
      <c r="D1838" s="11" t="s">
        <v>1251</v>
      </c>
      <c r="E1838" s="17" t="s">
        <v>75</v>
      </c>
      <c r="F1838" s="17" t="s">
        <v>1214</v>
      </c>
      <c r="G1838" s="11" t="s">
        <v>1215</v>
      </c>
      <c r="H1838" s="11" t="s">
        <v>1216</v>
      </c>
      <c r="I1838" s="17" t="s">
        <v>139</v>
      </c>
      <c r="J1838" s="17">
        <v>17.021322999999999</v>
      </c>
      <c r="K1838" s="17">
        <v>-96.716897000000003</v>
      </c>
      <c r="L1838" s="17" t="str">
        <f>HYPERLINK("https://maps.google.com/?q=17.021323,-96.716897", "🔗 Ver Mapa")</f>
        <v>🔗 Ver Mapa</v>
      </c>
    </row>
    <row r="1839" spans="1:12" ht="72.5" x14ac:dyDescent="0.35">
      <c r="A1839" s="5" t="s">
        <v>1299</v>
      </c>
      <c r="B1839" s="5" t="s">
        <v>1300</v>
      </c>
      <c r="C1839" s="5" t="s">
        <v>1301</v>
      </c>
      <c r="D1839" s="8" t="s">
        <v>1251</v>
      </c>
      <c r="E1839" s="16" t="s">
        <v>75</v>
      </c>
      <c r="F1839" s="16" t="s">
        <v>1214</v>
      </c>
      <c r="G1839" s="8" t="s">
        <v>1215</v>
      </c>
      <c r="H1839" s="8" t="s">
        <v>1216</v>
      </c>
      <c r="I1839" s="16" t="s">
        <v>139</v>
      </c>
      <c r="J1839" s="16">
        <v>17.021380000000001</v>
      </c>
      <c r="K1839" s="16">
        <v>-96.716277000000005</v>
      </c>
      <c r="L1839" s="16" t="str">
        <f>HYPERLINK("https://maps.google.com/?q=17.02138,-96.716277", "🔗 Ver Mapa")</f>
        <v>🔗 Ver Mapa</v>
      </c>
    </row>
    <row r="1840" spans="1:12" ht="72.5" x14ac:dyDescent="0.35">
      <c r="A1840" s="6" t="s">
        <v>1299</v>
      </c>
      <c r="B1840" s="6" t="s">
        <v>1300</v>
      </c>
      <c r="C1840" s="6" t="s">
        <v>1301</v>
      </c>
      <c r="D1840" s="11" t="s">
        <v>1251</v>
      </c>
      <c r="E1840" s="17" t="s">
        <v>75</v>
      </c>
      <c r="F1840" s="17" t="s">
        <v>1214</v>
      </c>
      <c r="G1840" s="11" t="s">
        <v>1215</v>
      </c>
      <c r="H1840" s="11" t="s">
        <v>1216</v>
      </c>
      <c r="I1840" s="17" t="s">
        <v>139</v>
      </c>
      <c r="J1840" s="17">
        <v>17.021408000000001</v>
      </c>
      <c r="K1840" s="17">
        <v>-96.716361000000006</v>
      </c>
      <c r="L1840" s="17" t="str">
        <f>HYPERLINK("https://maps.google.com/?q=17.021408,-96.716361", "🔗 Ver Mapa")</f>
        <v>🔗 Ver Mapa</v>
      </c>
    </row>
    <row r="1841" spans="1:12" ht="72.5" x14ac:dyDescent="0.35">
      <c r="A1841" s="5" t="s">
        <v>1299</v>
      </c>
      <c r="B1841" s="5" t="s">
        <v>1300</v>
      </c>
      <c r="C1841" s="5" t="s">
        <v>1301</v>
      </c>
      <c r="D1841" s="8" t="s">
        <v>1251</v>
      </c>
      <c r="E1841" s="16" t="s">
        <v>75</v>
      </c>
      <c r="F1841" s="16" t="s">
        <v>1214</v>
      </c>
      <c r="G1841" s="8" t="s">
        <v>1215</v>
      </c>
      <c r="H1841" s="8" t="s">
        <v>1216</v>
      </c>
      <c r="I1841" s="16" t="s">
        <v>139</v>
      </c>
      <c r="J1841" s="16">
        <v>17.021525</v>
      </c>
      <c r="K1841" s="16">
        <v>-96.717177000000007</v>
      </c>
      <c r="L1841" s="16" t="str">
        <f>HYPERLINK("https://maps.google.com/?q=17.021525,-96.717177", "🔗 Ver Mapa")</f>
        <v>🔗 Ver Mapa</v>
      </c>
    </row>
    <row r="1842" spans="1:12" ht="72.5" x14ac:dyDescent="0.35">
      <c r="A1842" s="6" t="s">
        <v>1299</v>
      </c>
      <c r="B1842" s="6" t="s">
        <v>1300</v>
      </c>
      <c r="C1842" s="6" t="s">
        <v>1301</v>
      </c>
      <c r="D1842" s="11" t="s">
        <v>1251</v>
      </c>
      <c r="E1842" s="17" t="s">
        <v>75</v>
      </c>
      <c r="F1842" s="17" t="s">
        <v>1214</v>
      </c>
      <c r="G1842" s="11" t="s">
        <v>1215</v>
      </c>
      <c r="H1842" s="11" t="s">
        <v>1216</v>
      </c>
      <c r="I1842" s="17" t="s">
        <v>139</v>
      </c>
      <c r="J1842" s="17">
        <v>17.022387999999999</v>
      </c>
      <c r="K1842" s="17">
        <v>-96.715992</v>
      </c>
      <c r="L1842" s="17" t="str">
        <f>HYPERLINK("https://maps.google.com/?q=17.022388,-96.715992", "🔗 Ver Mapa")</f>
        <v>🔗 Ver Mapa</v>
      </c>
    </row>
    <row r="1843" spans="1:12" ht="72.5" x14ac:dyDescent="0.35">
      <c r="A1843" s="5" t="s">
        <v>1299</v>
      </c>
      <c r="B1843" s="5" t="s">
        <v>1300</v>
      </c>
      <c r="C1843" s="5" t="s">
        <v>1301</v>
      </c>
      <c r="D1843" s="8" t="s">
        <v>1251</v>
      </c>
      <c r="E1843" s="16" t="s">
        <v>75</v>
      </c>
      <c r="F1843" s="16" t="s">
        <v>1214</v>
      </c>
      <c r="G1843" s="8" t="s">
        <v>1215</v>
      </c>
      <c r="H1843" s="8" t="s">
        <v>1216</v>
      </c>
      <c r="I1843" s="16" t="s">
        <v>139</v>
      </c>
      <c r="J1843" s="16">
        <v>17.022499</v>
      </c>
      <c r="K1843" s="16">
        <v>-96.716198000000006</v>
      </c>
      <c r="L1843" s="16" t="str">
        <f>HYPERLINK("https://maps.google.com/?q=17.022499,-96.716198", "🔗 Ver Mapa")</f>
        <v>🔗 Ver Mapa</v>
      </c>
    </row>
    <row r="1844" spans="1:12" ht="72.5" x14ac:dyDescent="0.35">
      <c r="A1844" s="6" t="s">
        <v>1299</v>
      </c>
      <c r="B1844" s="6" t="s">
        <v>1300</v>
      </c>
      <c r="C1844" s="6" t="s">
        <v>1301</v>
      </c>
      <c r="D1844" s="11" t="s">
        <v>1251</v>
      </c>
      <c r="E1844" s="17" t="s">
        <v>75</v>
      </c>
      <c r="F1844" s="17" t="s">
        <v>1214</v>
      </c>
      <c r="G1844" s="11" t="s">
        <v>1215</v>
      </c>
      <c r="H1844" s="11" t="s">
        <v>1216</v>
      </c>
      <c r="I1844" s="17" t="s">
        <v>139</v>
      </c>
      <c r="J1844" s="17">
        <v>17.022677000000002</v>
      </c>
      <c r="K1844" s="17">
        <v>-96.716768000000002</v>
      </c>
      <c r="L1844" s="17" t="str">
        <f>HYPERLINK("https://maps.google.com/?q=17.022677,-96.716768", "🔗 Ver Mapa")</f>
        <v>🔗 Ver Mapa</v>
      </c>
    </row>
    <row r="1845" spans="1:12" ht="43.5" x14ac:dyDescent="0.35">
      <c r="A1845" s="5" t="s">
        <v>270</v>
      </c>
      <c r="B1845" s="5" t="s">
        <v>271</v>
      </c>
      <c r="C1845" s="5" t="s">
        <v>1302</v>
      </c>
      <c r="D1845" s="8" t="s">
        <v>273</v>
      </c>
      <c r="E1845" s="16" t="s">
        <v>73</v>
      </c>
      <c r="F1845" s="16" t="s">
        <v>249</v>
      </c>
      <c r="G1845" s="8" t="s">
        <v>1303</v>
      </c>
      <c r="H1845" s="8" t="s">
        <v>1304</v>
      </c>
      <c r="I1845" s="16" t="s">
        <v>138</v>
      </c>
      <c r="J1845" s="16">
        <v>17.926118259898001</v>
      </c>
      <c r="K1845" s="16">
        <v>-97.675462460095005</v>
      </c>
      <c r="L1845" s="16" t="str">
        <f>HYPERLINK("https://maps.google.com/?q=17.926118259898,-97.675462460095", "🔗 Ver Mapa")</f>
        <v>🔗 Ver Mapa</v>
      </c>
    </row>
    <row r="1846" spans="1:12" ht="43.5" x14ac:dyDescent="0.35">
      <c r="A1846" s="6" t="s">
        <v>270</v>
      </c>
      <c r="B1846" s="6" t="s">
        <v>271</v>
      </c>
      <c r="C1846" s="6" t="s">
        <v>1302</v>
      </c>
      <c r="D1846" s="11" t="s">
        <v>273</v>
      </c>
      <c r="E1846" s="17" t="s">
        <v>73</v>
      </c>
      <c r="F1846" s="17" t="s">
        <v>249</v>
      </c>
      <c r="G1846" s="11" t="s">
        <v>1303</v>
      </c>
      <c r="H1846" s="11" t="s">
        <v>1304</v>
      </c>
      <c r="I1846" s="17" t="s">
        <v>138</v>
      </c>
      <c r="J1846" s="17">
        <v>17.927143192201999</v>
      </c>
      <c r="K1846" s="17">
        <v>-97.676129530148998</v>
      </c>
      <c r="L1846" s="17" t="str">
        <f>HYPERLINK("https://maps.google.com/?q=17.927143192202,-97.676129530149", "🔗 Ver Mapa")</f>
        <v>🔗 Ver Mapa</v>
      </c>
    </row>
    <row r="1847" spans="1:12" ht="43.5" x14ac:dyDescent="0.35">
      <c r="A1847" s="5" t="s">
        <v>270</v>
      </c>
      <c r="B1847" s="5" t="s">
        <v>271</v>
      </c>
      <c r="C1847" s="5" t="s">
        <v>1302</v>
      </c>
      <c r="D1847" s="8" t="s">
        <v>273</v>
      </c>
      <c r="E1847" s="16" t="s">
        <v>73</v>
      </c>
      <c r="F1847" s="16" t="s">
        <v>249</v>
      </c>
      <c r="G1847" s="8" t="s">
        <v>1303</v>
      </c>
      <c r="H1847" s="8" t="s">
        <v>1304</v>
      </c>
      <c r="I1847" s="16" t="s">
        <v>138</v>
      </c>
      <c r="J1847" s="16">
        <v>17.928990667594999</v>
      </c>
      <c r="K1847" s="16">
        <v>-97.667837494192</v>
      </c>
      <c r="L1847" s="16" t="str">
        <f>HYPERLINK("https://maps.google.com/?q=17.928990667595,-97.667837494192", "🔗 Ver Mapa")</f>
        <v>🔗 Ver Mapa</v>
      </c>
    </row>
    <row r="1848" spans="1:12" ht="43.5" x14ac:dyDescent="0.35">
      <c r="A1848" s="6" t="s">
        <v>270</v>
      </c>
      <c r="B1848" s="6" t="s">
        <v>271</v>
      </c>
      <c r="C1848" s="6" t="s">
        <v>1302</v>
      </c>
      <c r="D1848" s="11" t="s">
        <v>273</v>
      </c>
      <c r="E1848" s="17" t="s">
        <v>73</v>
      </c>
      <c r="F1848" s="17" t="s">
        <v>249</v>
      </c>
      <c r="G1848" s="11" t="s">
        <v>1303</v>
      </c>
      <c r="H1848" s="11" t="s">
        <v>1304</v>
      </c>
      <c r="I1848" s="17" t="s">
        <v>138</v>
      </c>
      <c r="J1848" s="17">
        <v>17.929134133936</v>
      </c>
      <c r="K1848" s="17">
        <v>-97.673924463431007</v>
      </c>
      <c r="L1848" s="17" t="str">
        <f>HYPERLINK("https://maps.google.com/?q=17.929134133936,-97.673924463431", "🔗 Ver Mapa")</f>
        <v>🔗 Ver Mapa</v>
      </c>
    </row>
    <row r="1849" spans="1:12" ht="43.5" x14ac:dyDescent="0.35">
      <c r="A1849" s="5" t="s">
        <v>270</v>
      </c>
      <c r="B1849" s="5" t="s">
        <v>271</v>
      </c>
      <c r="C1849" s="5" t="s">
        <v>1302</v>
      </c>
      <c r="D1849" s="8" t="s">
        <v>273</v>
      </c>
      <c r="E1849" s="16" t="s">
        <v>73</v>
      </c>
      <c r="F1849" s="16" t="s">
        <v>249</v>
      </c>
      <c r="G1849" s="8" t="s">
        <v>1303</v>
      </c>
      <c r="H1849" s="8" t="s">
        <v>1304</v>
      </c>
      <c r="I1849" s="16" t="s">
        <v>138</v>
      </c>
      <c r="J1849" s="16">
        <v>17.929807520335</v>
      </c>
      <c r="K1849" s="16">
        <v>-97.676049884007995</v>
      </c>
      <c r="L1849" s="16" t="str">
        <f>HYPERLINK("https://maps.google.com/?q=17.929807520335,-97.676049884008", "🔗 Ver Mapa")</f>
        <v>🔗 Ver Mapa</v>
      </c>
    </row>
    <row r="1850" spans="1:12" ht="43.5" x14ac:dyDescent="0.35">
      <c r="A1850" s="6" t="s">
        <v>270</v>
      </c>
      <c r="B1850" s="6" t="s">
        <v>271</v>
      </c>
      <c r="C1850" s="6" t="s">
        <v>1302</v>
      </c>
      <c r="D1850" s="11" t="s">
        <v>273</v>
      </c>
      <c r="E1850" s="17" t="s">
        <v>73</v>
      </c>
      <c r="F1850" s="17" t="s">
        <v>249</v>
      </c>
      <c r="G1850" s="11" t="s">
        <v>1303</v>
      </c>
      <c r="H1850" s="11" t="s">
        <v>1304</v>
      </c>
      <c r="I1850" s="17" t="s">
        <v>138</v>
      </c>
      <c r="J1850" s="17">
        <v>17.931592360686</v>
      </c>
      <c r="K1850" s="17">
        <v>-97.675765790423995</v>
      </c>
      <c r="L1850" s="17" t="str">
        <f>HYPERLINK("https://maps.google.com/?q=17.931592360686,-97.675765790424", "🔗 Ver Mapa")</f>
        <v>🔗 Ver Mapa</v>
      </c>
    </row>
    <row r="1851" spans="1:12" ht="43.5" x14ac:dyDescent="0.35">
      <c r="A1851" s="5" t="s">
        <v>270</v>
      </c>
      <c r="B1851" s="5" t="s">
        <v>271</v>
      </c>
      <c r="C1851" s="5" t="s">
        <v>1302</v>
      </c>
      <c r="D1851" s="8" t="s">
        <v>273</v>
      </c>
      <c r="E1851" s="16" t="s">
        <v>73</v>
      </c>
      <c r="F1851" s="16" t="s">
        <v>249</v>
      </c>
      <c r="G1851" s="8" t="s">
        <v>1303</v>
      </c>
      <c r="H1851" s="8" t="s">
        <v>1304</v>
      </c>
      <c r="I1851" s="16" t="s">
        <v>138</v>
      </c>
      <c r="J1851" s="16">
        <v>17.933616917559</v>
      </c>
      <c r="K1851" s="16">
        <v>-97.678066575689002</v>
      </c>
      <c r="L1851" s="16" t="str">
        <f>HYPERLINK("https://maps.google.com/?q=17.933616917559,-97.678066575689", "🔗 Ver Mapa")</f>
        <v>🔗 Ver Mapa</v>
      </c>
    </row>
    <row r="1852" spans="1:12" ht="43.5" x14ac:dyDescent="0.35">
      <c r="A1852" s="6" t="s">
        <v>270</v>
      </c>
      <c r="B1852" s="6" t="s">
        <v>271</v>
      </c>
      <c r="C1852" s="6" t="s">
        <v>1302</v>
      </c>
      <c r="D1852" s="11" t="s">
        <v>273</v>
      </c>
      <c r="E1852" s="17" t="s">
        <v>73</v>
      </c>
      <c r="F1852" s="17" t="s">
        <v>249</v>
      </c>
      <c r="G1852" s="11" t="s">
        <v>1303</v>
      </c>
      <c r="H1852" s="11" t="s">
        <v>1304</v>
      </c>
      <c r="I1852" s="17" t="s">
        <v>138</v>
      </c>
      <c r="J1852" s="17">
        <v>17.934771065064002</v>
      </c>
      <c r="K1852" s="17">
        <v>-97.678324553200994</v>
      </c>
      <c r="L1852" s="17" t="str">
        <f>HYPERLINK("https://maps.google.com/?q=17.934771065064,-97.678324553201", "🔗 Ver Mapa")</f>
        <v>🔗 Ver Mapa</v>
      </c>
    </row>
    <row r="1853" spans="1:12" ht="43.5" x14ac:dyDescent="0.35">
      <c r="A1853" s="5" t="s">
        <v>270</v>
      </c>
      <c r="B1853" s="5" t="s">
        <v>271</v>
      </c>
      <c r="C1853" s="5" t="s">
        <v>1302</v>
      </c>
      <c r="D1853" s="8" t="s">
        <v>273</v>
      </c>
      <c r="E1853" s="16" t="s">
        <v>73</v>
      </c>
      <c r="F1853" s="16" t="s">
        <v>249</v>
      </c>
      <c r="G1853" s="8" t="s">
        <v>1303</v>
      </c>
      <c r="H1853" s="8" t="s">
        <v>1304</v>
      </c>
      <c r="I1853" s="16" t="s">
        <v>138</v>
      </c>
      <c r="J1853" s="16">
        <v>17.935382250566999</v>
      </c>
      <c r="K1853" s="16">
        <v>-97.677130605873003</v>
      </c>
      <c r="L1853" s="16" t="str">
        <f>HYPERLINK("https://maps.google.com/?q=17.935382250567,-97.677130605873", "🔗 Ver Mapa")</f>
        <v>🔗 Ver Mapa</v>
      </c>
    </row>
    <row r="1854" spans="1:12" ht="43.5" x14ac:dyDescent="0.35">
      <c r="A1854" s="6" t="s">
        <v>270</v>
      </c>
      <c r="B1854" s="6" t="s">
        <v>271</v>
      </c>
      <c r="C1854" s="6" t="s">
        <v>1302</v>
      </c>
      <c r="D1854" s="11" t="s">
        <v>273</v>
      </c>
      <c r="E1854" s="17" t="s">
        <v>73</v>
      </c>
      <c r="F1854" s="17" t="s">
        <v>249</v>
      </c>
      <c r="G1854" s="11" t="s">
        <v>1303</v>
      </c>
      <c r="H1854" s="11" t="s">
        <v>1304</v>
      </c>
      <c r="I1854" s="17" t="s">
        <v>138</v>
      </c>
      <c r="J1854" s="17">
        <v>17.935960690607999</v>
      </c>
      <c r="K1854" s="17">
        <v>-97.676402917649995</v>
      </c>
      <c r="L1854" s="17" t="str">
        <f>HYPERLINK("https://maps.google.com/?q=17.935960690608,-97.67640291765", "🔗 Ver Mapa")</f>
        <v>🔗 Ver Mapa</v>
      </c>
    </row>
    <row r="1855" spans="1:12" ht="43.5" x14ac:dyDescent="0.35">
      <c r="A1855" s="5" t="s">
        <v>270</v>
      </c>
      <c r="B1855" s="5" t="s">
        <v>271</v>
      </c>
      <c r="C1855" s="5" t="s">
        <v>1305</v>
      </c>
      <c r="D1855" s="8" t="s">
        <v>273</v>
      </c>
      <c r="E1855" s="16" t="s">
        <v>79</v>
      </c>
      <c r="F1855" s="16" t="s">
        <v>195</v>
      </c>
      <c r="G1855" s="8" t="s">
        <v>1139</v>
      </c>
      <c r="H1855" s="8" t="s">
        <v>1140</v>
      </c>
      <c r="I1855" s="16" t="s">
        <v>138</v>
      </c>
      <c r="J1855" s="16">
        <v>16.144807862312</v>
      </c>
      <c r="K1855" s="16">
        <v>-96.350117742397003</v>
      </c>
      <c r="L1855" s="16" t="str">
        <f>HYPERLINK("https://maps.google.com/?q=16.144807862312,-96.350117742397", "🔗 Ver Mapa")</f>
        <v>🔗 Ver Mapa</v>
      </c>
    </row>
    <row r="1856" spans="1:12" ht="43.5" x14ac:dyDescent="0.35">
      <c r="A1856" s="6" t="s">
        <v>270</v>
      </c>
      <c r="B1856" s="6" t="s">
        <v>271</v>
      </c>
      <c r="C1856" s="6" t="s">
        <v>1305</v>
      </c>
      <c r="D1856" s="11" t="s">
        <v>273</v>
      </c>
      <c r="E1856" s="17" t="s">
        <v>79</v>
      </c>
      <c r="F1856" s="17" t="s">
        <v>195</v>
      </c>
      <c r="G1856" s="11" t="s">
        <v>1139</v>
      </c>
      <c r="H1856" s="11" t="s">
        <v>1140</v>
      </c>
      <c r="I1856" s="17" t="s">
        <v>138</v>
      </c>
      <c r="J1856" s="17">
        <v>16.145552686412</v>
      </c>
      <c r="K1856" s="17">
        <v>-96.351160289315004</v>
      </c>
      <c r="L1856" s="17" t="str">
        <f>HYPERLINK("https://maps.google.com/?q=16.145552686412,-96.351160289315", "🔗 Ver Mapa")</f>
        <v>🔗 Ver Mapa</v>
      </c>
    </row>
    <row r="1857" spans="1:12" ht="43.5" x14ac:dyDescent="0.35">
      <c r="A1857" s="5" t="s">
        <v>270</v>
      </c>
      <c r="B1857" s="5" t="s">
        <v>271</v>
      </c>
      <c r="C1857" s="5" t="s">
        <v>1305</v>
      </c>
      <c r="D1857" s="8" t="s">
        <v>273</v>
      </c>
      <c r="E1857" s="16" t="s">
        <v>79</v>
      </c>
      <c r="F1857" s="16" t="s">
        <v>195</v>
      </c>
      <c r="G1857" s="8" t="s">
        <v>1139</v>
      </c>
      <c r="H1857" s="8" t="s">
        <v>1140</v>
      </c>
      <c r="I1857" s="16" t="s">
        <v>138</v>
      </c>
      <c r="J1857" s="16">
        <v>16.145659745913001</v>
      </c>
      <c r="K1857" s="16">
        <v>-96.351323003288002</v>
      </c>
      <c r="L1857" s="16" t="str">
        <f>HYPERLINK("https://maps.google.com/?q=16.145659745913,-96.351323003288", "🔗 Ver Mapa")</f>
        <v>🔗 Ver Mapa</v>
      </c>
    </row>
    <row r="1858" spans="1:12" ht="43.5" x14ac:dyDescent="0.35">
      <c r="A1858" s="6" t="s">
        <v>270</v>
      </c>
      <c r="B1858" s="6" t="s">
        <v>271</v>
      </c>
      <c r="C1858" s="6" t="s">
        <v>1305</v>
      </c>
      <c r="D1858" s="11" t="s">
        <v>273</v>
      </c>
      <c r="E1858" s="17" t="s">
        <v>79</v>
      </c>
      <c r="F1858" s="17" t="s">
        <v>195</v>
      </c>
      <c r="G1858" s="11" t="s">
        <v>1139</v>
      </c>
      <c r="H1858" s="11" t="s">
        <v>1140</v>
      </c>
      <c r="I1858" s="17" t="s">
        <v>138</v>
      </c>
      <c r="J1858" s="17">
        <v>16.146506514354002</v>
      </c>
      <c r="K1858" s="17">
        <v>-96.351462274675995</v>
      </c>
      <c r="L1858" s="17" t="str">
        <f>HYPERLINK("https://maps.google.com/?q=16.146506514354,-96.351462274676", "🔗 Ver Mapa")</f>
        <v>🔗 Ver Mapa</v>
      </c>
    </row>
    <row r="1859" spans="1:12" ht="43.5" x14ac:dyDescent="0.35">
      <c r="A1859" s="5" t="s">
        <v>270</v>
      </c>
      <c r="B1859" s="5" t="s">
        <v>271</v>
      </c>
      <c r="C1859" s="5" t="s">
        <v>1305</v>
      </c>
      <c r="D1859" s="8" t="s">
        <v>273</v>
      </c>
      <c r="E1859" s="16" t="s">
        <v>79</v>
      </c>
      <c r="F1859" s="16" t="s">
        <v>195</v>
      </c>
      <c r="G1859" s="8" t="s">
        <v>1139</v>
      </c>
      <c r="H1859" s="8" t="s">
        <v>1140</v>
      </c>
      <c r="I1859" s="16" t="s">
        <v>138</v>
      </c>
      <c r="J1859" s="16">
        <v>16.146549560814002</v>
      </c>
      <c r="K1859" s="16">
        <v>-96.347606595071994</v>
      </c>
      <c r="L1859" s="16" t="str">
        <f>HYPERLINK("https://maps.google.com/?q=16.146549560814,-96.347606595072", "🔗 Ver Mapa")</f>
        <v>🔗 Ver Mapa</v>
      </c>
    </row>
    <row r="1860" spans="1:12" ht="43.5" x14ac:dyDescent="0.35">
      <c r="A1860" s="6" t="s">
        <v>270</v>
      </c>
      <c r="B1860" s="6" t="s">
        <v>271</v>
      </c>
      <c r="C1860" s="6" t="s">
        <v>1305</v>
      </c>
      <c r="D1860" s="11" t="s">
        <v>273</v>
      </c>
      <c r="E1860" s="17" t="s">
        <v>79</v>
      </c>
      <c r="F1860" s="17" t="s">
        <v>195</v>
      </c>
      <c r="G1860" s="11" t="s">
        <v>1139</v>
      </c>
      <c r="H1860" s="11" t="s">
        <v>1140</v>
      </c>
      <c r="I1860" s="17" t="s">
        <v>138</v>
      </c>
      <c r="J1860" s="17">
        <v>16.146576948216001</v>
      </c>
      <c r="K1860" s="17">
        <v>-96.348029250617998</v>
      </c>
      <c r="L1860" s="17" t="str">
        <f>HYPERLINK("https://maps.google.com/?q=16.146576948216,-96.348029250618", "🔗 Ver Mapa")</f>
        <v>🔗 Ver Mapa</v>
      </c>
    </row>
    <row r="1861" spans="1:12" ht="43.5" x14ac:dyDescent="0.35">
      <c r="A1861" s="5" t="s">
        <v>270</v>
      </c>
      <c r="B1861" s="5" t="s">
        <v>271</v>
      </c>
      <c r="C1861" s="5" t="s">
        <v>1305</v>
      </c>
      <c r="D1861" s="8" t="s">
        <v>273</v>
      </c>
      <c r="E1861" s="16" t="s">
        <v>79</v>
      </c>
      <c r="F1861" s="16" t="s">
        <v>195</v>
      </c>
      <c r="G1861" s="8" t="s">
        <v>1139</v>
      </c>
      <c r="H1861" s="8" t="s">
        <v>1140</v>
      </c>
      <c r="I1861" s="16" t="s">
        <v>138</v>
      </c>
      <c r="J1861" s="16">
        <v>16.146602712263999</v>
      </c>
      <c r="K1861" s="16">
        <v>-96.350979680533996</v>
      </c>
      <c r="L1861" s="16" t="str">
        <f>HYPERLINK("https://maps.google.com/?q=16.146602712264,-96.350979680534", "🔗 Ver Mapa")</f>
        <v>🔗 Ver Mapa</v>
      </c>
    </row>
    <row r="1862" spans="1:12" ht="43.5" x14ac:dyDescent="0.35">
      <c r="A1862" s="6" t="s">
        <v>270</v>
      </c>
      <c r="B1862" s="6" t="s">
        <v>271</v>
      </c>
      <c r="C1862" s="6" t="s">
        <v>1305</v>
      </c>
      <c r="D1862" s="11" t="s">
        <v>273</v>
      </c>
      <c r="E1862" s="17" t="s">
        <v>79</v>
      </c>
      <c r="F1862" s="17" t="s">
        <v>195</v>
      </c>
      <c r="G1862" s="11" t="s">
        <v>1139</v>
      </c>
      <c r="H1862" s="11" t="s">
        <v>1140</v>
      </c>
      <c r="I1862" s="17" t="s">
        <v>138</v>
      </c>
      <c r="J1862" s="17">
        <v>16.14671092123</v>
      </c>
      <c r="K1862" s="17">
        <v>-96.351671690459995</v>
      </c>
      <c r="L1862" s="17" t="str">
        <f>HYPERLINK("https://maps.google.com/?q=16.14671092123,-96.35167169046", "🔗 Ver Mapa")</f>
        <v>🔗 Ver Mapa</v>
      </c>
    </row>
    <row r="1863" spans="1:12" ht="43.5" x14ac:dyDescent="0.35">
      <c r="A1863" s="5" t="s">
        <v>270</v>
      </c>
      <c r="B1863" s="5" t="s">
        <v>271</v>
      </c>
      <c r="C1863" s="5" t="s">
        <v>1305</v>
      </c>
      <c r="D1863" s="8" t="s">
        <v>273</v>
      </c>
      <c r="E1863" s="16" t="s">
        <v>79</v>
      </c>
      <c r="F1863" s="16" t="s">
        <v>195</v>
      </c>
      <c r="G1863" s="8" t="s">
        <v>1139</v>
      </c>
      <c r="H1863" s="8" t="s">
        <v>1140</v>
      </c>
      <c r="I1863" s="16" t="s">
        <v>138</v>
      </c>
      <c r="J1863" s="16">
        <v>16.147097381340998</v>
      </c>
      <c r="K1863" s="16">
        <v>-96.352653378959999</v>
      </c>
      <c r="L1863" s="16" t="str">
        <f>HYPERLINK("https://maps.google.com/?q=16.147097381341,-96.35265337896", "🔗 Ver Mapa")</f>
        <v>🔗 Ver Mapa</v>
      </c>
    </row>
    <row r="1864" spans="1:12" ht="58" x14ac:dyDescent="0.35">
      <c r="A1864" s="6" t="s">
        <v>1</v>
      </c>
      <c r="B1864" s="6" t="s">
        <v>14</v>
      </c>
      <c r="C1864" s="6" t="s">
        <v>1306</v>
      </c>
      <c r="D1864" s="11" t="s">
        <v>61</v>
      </c>
      <c r="E1864" s="17" t="s">
        <v>79</v>
      </c>
      <c r="F1864" s="17" t="s">
        <v>91</v>
      </c>
      <c r="G1864" s="11" t="s">
        <v>733</v>
      </c>
      <c r="H1864" s="11" t="s">
        <v>1307</v>
      </c>
      <c r="I1864" s="17" t="s">
        <v>138</v>
      </c>
      <c r="J1864" s="17">
        <v>16.609349000000002</v>
      </c>
      <c r="K1864" s="17">
        <v>-97.530292000000003</v>
      </c>
      <c r="L1864" s="17" t="str">
        <f>HYPERLINK("https://maps.google.com/?q=16.609349,-97.530292", "🔗 Ver Mapa")</f>
        <v>🔗 Ver Mapa</v>
      </c>
    </row>
    <row r="1865" spans="1:12" ht="43.5" x14ac:dyDescent="0.35">
      <c r="A1865" s="5" t="s">
        <v>270</v>
      </c>
      <c r="B1865" s="5" t="s">
        <v>271</v>
      </c>
      <c r="C1865" s="5" t="s">
        <v>1308</v>
      </c>
      <c r="D1865" s="8" t="s">
        <v>273</v>
      </c>
      <c r="E1865" s="16" t="s">
        <v>79</v>
      </c>
      <c r="F1865" s="16" t="s">
        <v>195</v>
      </c>
      <c r="G1865" s="8" t="s">
        <v>1139</v>
      </c>
      <c r="H1865" s="8" t="s">
        <v>1309</v>
      </c>
      <c r="I1865" s="16" t="s">
        <v>138</v>
      </c>
      <c r="J1865" s="16">
        <v>16.068131440367001</v>
      </c>
      <c r="K1865" s="16">
        <v>-96.299674721911003</v>
      </c>
      <c r="L1865" s="16" t="str">
        <f>HYPERLINK("https://maps.google.com/?q=16.068131440367,-96.299674721911", "🔗 Ver Mapa")</f>
        <v>🔗 Ver Mapa</v>
      </c>
    </row>
    <row r="1866" spans="1:12" ht="43.5" x14ac:dyDescent="0.35">
      <c r="A1866" s="6" t="s">
        <v>270</v>
      </c>
      <c r="B1866" s="6" t="s">
        <v>271</v>
      </c>
      <c r="C1866" s="6" t="s">
        <v>1308</v>
      </c>
      <c r="D1866" s="11" t="s">
        <v>273</v>
      </c>
      <c r="E1866" s="17" t="s">
        <v>79</v>
      </c>
      <c r="F1866" s="17" t="s">
        <v>195</v>
      </c>
      <c r="G1866" s="11" t="s">
        <v>1139</v>
      </c>
      <c r="H1866" s="11" t="s">
        <v>1309</v>
      </c>
      <c r="I1866" s="17" t="s">
        <v>138</v>
      </c>
      <c r="J1866" s="17">
        <v>16.0682837795</v>
      </c>
      <c r="K1866" s="17">
        <v>-96.299700744880994</v>
      </c>
      <c r="L1866" s="17" t="str">
        <f>HYPERLINK("https://maps.google.com/?q=16.0682837795,-96.299700744881", "🔗 Ver Mapa")</f>
        <v>🔗 Ver Mapa</v>
      </c>
    </row>
    <row r="1867" spans="1:12" ht="43.5" x14ac:dyDescent="0.35">
      <c r="A1867" s="5" t="s">
        <v>270</v>
      </c>
      <c r="B1867" s="5" t="s">
        <v>271</v>
      </c>
      <c r="C1867" s="5" t="s">
        <v>1308</v>
      </c>
      <c r="D1867" s="8" t="s">
        <v>273</v>
      </c>
      <c r="E1867" s="16" t="s">
        <v>79</v>
      </c>
      <c r="F1867" s="16" t="s">
        <v>195</v>
      </c>
      <c r="G1867" s="8" t="s">
        <v>1139</v>
      </c>
      <c r="H1867" s="8" t="s">
        <v>1309</v>
      </c>
      <c r="I1867" s="16" t="s">
        <v>138</v>
      </c>
      <c r="J1867" s="16">
        <v>16.068310571243</v>
      </c>
      <c r="K1867" s="16">
        <v>-96.299846383288994</v>
      </c>
      <c r="L1867" s="16" t="str">
        <f>HYPERLINK("https://maps.google.com/?q=16.068310571243,-96.299846383289", "🔗 Ver Mapa")</f>
        <v>🔗 Ver Mapa</v>
      </c>
    </row>
    <row r="1868" spans="1:12" ht="43.5" x14ac:dyDescent="0.35">
      <c r="A1868" s="6" t="s">
        <v>270</v>
      </c>
      <c r="B1868" s="6" t="s">
        <v>271</v>
      </c>
      <c r="C1868" s="6" t="s">
        <v>1308</v>
      </c>
      <c r="D1868" s="11" t="s">
        <v>273</v>
      </c>
      <c r="E1868" s="17" t="s">
        <v>79</v>
      </c>
      <c r="F1868" s="17" t="s">
        <v>195</v>
      </c>
      <c r="G1868" s="11" t="s">
        <v>1139</v>
      </c>
      <c r="H1868" s="11" t="s">
        <v>1309</v>
      </c>
      <c r="I1868" s="17" t="s">
        <v>138</v>
      </c>
      <c r="J1868" s="17">
        <v>16.068580236233</v>
      </c>
      <c r="K1868" s="17">
        <v>-96.299763970461996</v>
      </c>
      <c r="L1868" s="17" t="str">
        <f>HYPERLINK("https://maps.google.com/?q=16.068580236233,-96.299763970462", "🔗 Ver Mapa")</f>
        <v>🔗 Ver Mapa</v>
      </c>
    </row>
    <row r="1869" spans="1:12" ht="43.5" x14ac:dyDescent="0.35">
      <c r="A1869" s="5" t="s">
        <v>270</v>
      </c>
      <c r="B1869" s="5" t="s">
        <v>271</v>
      </c>
      <c r="C1869" s="5" t="s">
        <v>1308</v>
      </c>
      <c r="D1869" s="8" t="s">
        <v>273</v>
      </c>
      <c r="E1869" s="16" t="s">
        <v>79</v>
      </c>
      <c r="F1869" s="16" t="s">
        <v>195</v>
      </c>
      <c r="G1869" s="8" t="s">
        <v>1139</v>
      </c>
      <c r="H1869" s="8" t="s">
        <v>1309</v>
      </c>
      <c r="I1869" s="16" t="s">
        <v>138</v>
      </c>
      <c r="J1869" s="16">
        <v>16.068759684187</v>
      </c>
      <c r="K1869" s="16">
        <v>-96.300220991718007</v>
      </c>
      <c r="L1869" s="16" t="str">
        <f>HYPERLINK("https://maps.google.com/?q=16.068759684187,-96.300220991718", "🔗 Ver Mapa")</f>
        <v>🔗 Ver Mapa</v>
      </c>
    </row>
    <row r="1870" spans="1:12" ht="43.5" x14ac:dyDescent="0.35">
      <c r="A1870" s="6" t="s">
        <v>270</v>
      </c>
      <c r="B1870" s="6" t="s">
        <v>271</v>
      </c>
      <c r="C1870" s="6" t="s">
        <v>1308</v>
      </c>
      <c r="D1870" s="11" t="s">
        <v>273</v>
      </c>
      <c r="E1870" s="17" t="s">
        <v>79</v>
      </c>
      <c r="F1870" s="17" t="s">
        <v>195</v>
      </c>
      <c r="G1870" s="11" t="s">
        <v>1139</v>
      </c>
      <c r="H1870" s="11" t="s">
        <v>1309</v>
      </c>
      <c r="I1870" s="17" t="s">
        <v>138</v>
      </c>
      <c r="J1870" s="17">
        <v>16.069462203006001</v>
      </c>
      <c r="K1870" s="17">
        <v>-96.301259993702999</v>
      </c>
      <c r="L1870" s="17" t="str">
        <f>HYPERLINK("https://maps.google.com/?q=16.069462203006,-96.301259993703", "🔗 Ver Mapa")</f>
        <v>🔗 Ver Mapa</v>
      </c>
    </row>
    <row r="1871" spans="1:12" ht="43.5" x14ac:dyDescent="0.35">
      <c r="A1871" s="5" t="s">
        <v>270</v>
      </c>
      <c r="B1871" s="5" t="s">
        <v>271</v>
      </c>
      <c r="C1871" s="5" t="s">
        <v>1308</v>
      </c>
      <c r="D1871" s="8" t="s">
        <v>273</v>
      </c>
      <c r="E1871" s="16" t="s">
        <v>79</v>
      </c>
      <c r="F1871" s="16" t="s">
        <v>195</v>
      </c>
      <c r="G1871" s="8" t="s">
        <v>1139</v>
      </c>
      <c r="H1871" s="8" t="s">
        <v>1309</v>
      </c>
      <c r="I1871" s="16" t="s">
        <v>138</v>
      </c>
      <c r="J1871" s="16">
        <v>16.069613981619</v>
      </c>
      <c r="K1871" s="16">
        <v>-96.301757843516995</v>
      </c>
      <c r="L1871" s="16" t="str">
        <f>HYPERLINK("https://maps.google.com/?q=16.069613981619,-96.301757843517", "🔗 Ver Mapa")</f>
        <v>🔗 Ver Mapa</v>
      </c>
    </row>
    <row r="1872" spans="1:12" ht="43.5" x14ac:dyDescent="0.35">
      <c r="A1872" s="6" t="s">
        <v>270</v>
      </c>
      <c r="B1872" s="6" t="s">
        <v>271</v>
      </c>
      <c r="C1872" s="6" t="s">
        <v>1308</v>
      </c>
      <c r="D1872" s="11" t="s">
        <v>273</v>
      </c>
      <c r="E1872" s="17" t="s">
        <v>79</v>
      </c>
      <c r="F1872" s="17" t="s">
        <v>195</v>
      </c>
      <c r="G1872" s="11" t="s">
        <v>1139</v>
      </c>
      <c r="H1872" s="11" t="s">
        <v>1309</v>
      </c>
      <c r="I1872" s="17" t="s">
        <v>138</v>
      </c>
      <c r="J1872" s="17">
        <v>16.069827649198999</v>
      </c>
      <c r="K1872" s="17">
        <v>-96.304578341972999</v>
      </c>
      <c r="L1872" s="17" t="str">
        <f>HYPERLINK("https://maps.google.com/?q=16.069827649199,-96.304578341973", "🔗 Ver Mapa")</f>
        <v>🔗 Ver Mapa</v>
      </c>
    </row>
    <row r="1873" spans="1:12" ht="43.5" x14ac:dyDescent="0.35">
      <c r="A1873" s="5" t="s">
        <v>270</v>
      </c>
      <c r="B1873" s="5" t="s">
        <v>271</v>
      </c>
      <c r="C1873" s="5" t="s">
        <v>1308</v>
      </c>
      <c r="D1873" s="8" t="s">
        <v>273</v>
      </c>
      <c r="E1873" s="16" t="s">
        <v>79</v>
      </c>
      <c r="F1873" s="16" t="s">
        <v>195</v>
      </c>
      <c r="G1873" s="8" t="s">
        <v>1139</v>
      </c>
      <c r="H1873" s="8" t="s">
        <v>1309</v>
      </c>
      <c r="I1873" s="16" t="s">
        <v>138</v>
      </c>
      <c r="J1873" s="16">
        <v>16.069872699662</v>
      </c>
      <c r="K1873" s="16">
        <v>-96.301802550925999</v>
      </c>
      <c r="L1873" s="16" t="str">
        <f>HYPERLINK("https://maps.google.com/?q=16.069872699662,-96.301802550926", "🔗 Ver Mapa")</f>
        <v>🔗 Ver Mapa</v>
      </c>
    </row>
    <row r="1874" spans="1:12" ht="43.5" x14ac:dyDescent="0.35">
      <c r="A1874" s="6" t="s">
        <v>270</v>
      </c>
      <c r="B1874" s="6" t="s">
        <v>271</v>
      </c>
      <c r="C1874" s="6" t="s">
        <v>1308</v>
      </c>
      <c r="D1874" s="11" t="s">
        <v>273</v>
      </c>
      <c r="E1874" s="17" t="s">
        <v>79</v>
      </c>
      <c r="F1874" s="17" t="s">
        <v>195</v>
      </c>
      <c r="G1874" s="11" t="s">
        <v>1139</v>
      </c>
      <c r="H1874" s="11" t="s">
        <v>1309</v>
      </c>
      <c r="I1874" s="17" t="s">
        <v>138</v>
      </c>
      <c r="J1874" s="17">
        <v>16.069879283839001</v>
      </c>
      <c r="K1874" s="17">
        <v>-96.305574822975004</v>
      </c>
      <c r="L1874" s="17" t="str">
        <f>HYPERLINK("https://maps.google.com/?q=16.069879283839,-96.305574822975", "🔗 Ver Mapa")</f>
        <v>🔗 Ver Mapa</v>
      </c>
    </row>
    <row r="1875" spans="1:12" ht="43.5" x14ac:dyDescent="0.35">
      <c r="A1875" s="5" t="s">
        <v>270</v>
      </c>
      <c r="B1875" s="5" t="s">
        <v>271</v>
      </c>
      <c r="C1875" s="5" t="s">
        <v>1308</v>
      </c>
      <c r="D1875" s="8" t="s">
        <v>273</v>
      </c>
      <c r="E1875" s="16" t="s">
        <v>79</v>
      </c>
      <c r="F1875" s="16" t="s">
        <v>195</v>
      </c>
      <c r="G1875" s="8" t="s">
        <v>1139</v>
      </c>
      <c r="H1875" s="8" t="s">
        <v>1309</v>
      </c>
      <c r="I1875" s="16" t="s">
        <v>138</v>
      </c>
      <c r="J1875" s="16">
        <v>16.069896207224001</v>
      </c>
      <c r="K1875" s="16">
        <v>-96.304293872139993</v>
      </c>
      <c r="L1875" s="16" t="str">
        <f>HYPERLINK("https://maps.google.com/?q=16.069896207224,-96.30429387214", "🔗 Ver Mapa")</f>
        <v>🔗 Ver Mapa</v>
      </c>
    </row>
    <row r="1876" spans="1:12" ht="43.5" x14ac:dyDescent="0.35">
      <c r="A1876" s="6" t="s">
        <v>270</v>
      </c>
      <c r="B1876" s="6" t="s">
        <v>271</v>
      </c>
      <c r="C1876" s="6" t="s">
        <v>1308</v>
      </c>
      <c r="D1876" s="11" t="s">
        <v>273</v>
      </c>
      <c r="E1876" s="17" t="s">
        <v>79</v>
      </c>
      <c r="F1876" s="17" t="s">
        <v>195</v>
      </c>
      <c r="G1876" s="11" t="s">
        <v>1139</v>
      </c>
      <c r="H1876" s="11" t="s">
        <v>1309</v>
      </c>
      <c r="I1876" s="17" t="s">
        <v>138</v>
      </c>
      <c r="J1876" s="17">
        <v>16.070084100517999</v>
      </c>
      <c r="K1876" s="17">
        <v>-96.304597117436003</v>
      </c>
      <c r="L1876" s="17" t="str">
        <f>HYPERLINK("https://maps.google.com/?q=16.070084100518,-96.304597117436", "🔗 Ver Mapa")</f>
        <v>🔗 Ver Mapa</v>
      </c>
    </row>
    <row r="1877" spans="1:12" ht="43.5" x14ac:dyDescent="0.35">
      <c r="A1877" s="5" t="s">
        <v>270</v>
      </c>
      <c r="B1877" s="5" t="s">
        <v>271</v>
      </c>
      <c r="C1877" s="5" t="s">
        <v>1308</v>
      </c>
      <c r="D1877" s="8" t="s">
        <v>273</v>
      </c>
      <c r="E1877" s="16" t="s">
        <v>79</v>
      </c>
      <c r="F1877" s="16" t="s">
        <v>195</v>
      </c>
      <c r="G1877" s="8" t="s">
        <v>1139</v>
      </c>
      <c r="H1877" s="8" t="s">
        <v>1309</v>
      </c>
      <c r="I1877" s="16" t="s">
        <v>138</v>
      </c>
      <c r="J1877" s="16">
        <v>16.070329968498001</v>
      </c>
      <c r="K1877" s="16">
        <v>-96.304975877749001</v>
      </c>
      <c r="L1877" s="16" t="str">
        <f>HYPERLINK("https://maps.google.com/?q=16.070329968498,-96.304975877749", "🔗 Ver Mapa")</f>
        <v>🔗 Ver Mapa</v>
      </c>
    </row>
    <row r="1878" spans="1:12" ht="43.5" x14ac:dyDescent="0.35">
      <c r="A1878" s="6" t="s">
        <v>270</v>
      </c>
      <c r="B1878" s="6" t="s">
        <v>271</v>
      </c>
      <c r="C1878" s="6" t="s">
        <v>1308</v>
      </c>
      <c r="D1878" s="11" t="s">
        <v>273</v>
      </c>
      <c r="E1878" s="17" t="s">
        <v>79</v>
      </c>
      <c r="F1878" s="17" t="s">
        <v>195</v>
      </c>
      <c r="G1878" s="11" t="s">
        <v>1139</v>
      </c>
      <c r="H1878" s="11" t="s">
        <v>1309</v>
      </c>
      <c r="I1878" s="17" t="s">
        <v>138</v>
      </c>
      <c r="J1878" s="17">
        <v>16.070352868606001</v>
      </c>
      <c r="K1878" s="17">
        <v>-96.302240265047004</v>
      </c>
      <c r="L1878" s="17" t="str">
        <f>HYPERLINK("https://maps.google.com/?q=16.070352868606,-96.302240265047", "🔗 Ver Mapa")</f>
        <v>🔗 Ver Mapa</v>
      </c>
    </row>
    <row r="1879" spans="1:12" ht="43.5" x14ac:dyDescent="0.35">
      <c r="A1879" s="5" t="s">
        <v>270</v>
      </c>
      <c r="B1879" s="5" t="s">
        <v>271</v>
      </c>
      <c r="C1879" s="5" t="s">
        <v>1308</v>
      </c>
      <c r="D1879" s="8" t="s">
        <v>273</v>
      </c>
      <c r="E1879" s="16" t="s">
        <v>79</v>
      </c>
      <c r="F1879" s="16" t="s">
        <v>195</v>
      </c>
      <c r="G1879" s="8" t="s">
        <v>1139</v>
      </c>
      <c r="H1879" s="8" t="s">
        <v>1309</v>
      </c>
      <c r="I1879" s="16" t="s">
        <v>138</v>
      </c>
      <c r="J1879" s="16">
        <v>16.070368902851001</v>
      </c>
      <c r="K1879" s="16">
        <v>-96.302478842865995</v>
      </c>
      <c r="L1879" s="16" t="str">
        <f>HYPERLINK("https://maps.google.com/?q=16.070368902851,-96.302478842866", "🔗 Ver Mapa")</f>
        <v>🔗 Ver Mapa</v>
      </c>
    </row>
    <row r="1880" spans="1:12" ht="43.5" x14ac:dyDescent="0.35">
      <c r="A1880" s="6" t="s">
        <v>270</v>
      </c>
      <c r="B1880" s="6" t="s">
        <v>271</v>
      </c>
      <c r="C1880" s="6" t="s">
        <v>1308</v>
      </c>
      <c r="D1880" s="11" t="s">
        <v>273</v>
      </c>
      <c r="E1880" s="17" t="s">
        <v>79</v>
      </c>
      <c r="F1880" s="17" t="s">
        <v>195</v>
      </c>
      <c r="G1880" s="11" t="s">
        <v>1139</v>
      </c>
      <c r="H1880" s="11" t="s">
        <v>1309</v>
      </c>
      <c r="I1880" s="17" t="s">
        <v>138</v>
      </c>
      <c r="J1880" s="17">
        <v>16.070573805635</v>
      </c>
      <c r="K1880" s="17">
        <v>-96.303414263259995</v>
      </c>
      <c r="L1880" s="17" t="str">
        <f>HYPERLINK("https://maps.google.com/?q=16.070573805635,-96.30341426326", "🔗 Ver Mapa")</f>
        <v>🔗 Ver Mapa</v>
      </c>
    </row>
    <row r="1881" spans="1:12" ht="43.5" x14ac:dyDescent="0.35">
      <c r="A1881" s="5" t="s">
        <v>270</v>
      </c>
      <c r="B1881" s="5" t="s">
        <v>271</v>
      </c>
      <c r="C1881" s="5" t="s">
        <v>1308</v>
      </c>
      <c r="D1881" s="8" t="s">
        <v>273</v>
      </c>
      <c r="E1881" s="16" t="s">
        <v>79</v>
      </c>
      <c r="F1881" s="16" t="s">
        <v>195</v>
      </c>
      <c r="G1881" s="8" t="s">
        <v>1139</v>
      </c>
      <c r="H1881" s="8" t="s">
        <v>1309</v>
      </c>
      <c r="I1881" s="16" t="s">
        <v>138</v>
      </c>
      <c r="J1881" s="16">
        <v>16.070795040579998</v>
      </c>
      <c r="K1881" s="16">
        <v>-96.302097676814</v>
      </c>
      <c r="L1881" s="16" t="str">
        <f>HYPERLINK("https://maps.google.com/?q=16.07079504058,-96.302097676814", "🔗 Ver Mapa")</f>
        <v>🔗 Ver Mapa</v>
      </c>
    </row>
    <row r="1882" spans="1:12" ht="43.5" x14ac:dyDescent="0.35">
      <c r="A1882" s="6" t="s">
        <v>270</v>
      </c>
      <c r="B1882" s="6" t="s">
        <v>271</v>
      </c>
      <c r="C1882" s="6" t="s">
        <v>1308</v>
      </c>
      <c r="D1882" s="11" t="s">
        <v>273</v>
      </c>
      <c r="E1882" s="17" t="s">
        <v>79</v>
      </c>
      <c r="F1882" s="17" t="s">
        <v>195</v>
      </c>
      <c r="G1882" s="11" t="s">
        <v>1139</v>
      </c>
      <c r="H1882" s="11" t="s">
        <v>1309</v>
      </c>
      <c r="I1882" s="17" t="s">
        <v>138</v>
      </c>
      <c r="J1882" s="17">
        <v>16.070887976049999</v>
      </c>
      <c r="K1882" s="17">
        <v>-96.303191097929002</v>
      </c>
      <c r="L1882" s="17" t="str">
        <f>HYPERLINK("https://maps.google.com/?q=16.07088797605,-96.303191097929", "🔗 Ver Mapa")</f>
        <v>🔗 Ver Mapa</v>
      </c>
    </row>
    <row r="1883" spans="1:12" ht="43.5" x14ac:dyDescent="0.35">
      <c r="A1883" s="5" t="s">
        <v>270</v>
      </c>
      <c r="B1883" s="5" t="s">
        <v>271</v>
      </c>
      <c r="C1883" s="5" t="s">
        <v>1308</v>
      </c>
      <c r="D1883" s="8" t="s">
        <v>273</v>
      </c>
      <c r="E1883" s="16" t="s">
        <v>79</v>
      </c>
      <c r="F1883" s="16" t="s">
        <v>195</v>
      </c>
      <c r="G1883" s="8" t="s">
        <v>1139</v>
      </c>
      <c r="H1883" s="8" t="s">
        <v>1309</v>
      </c>
      <c r="I1883" s="16" t="s">
        <v>138</v>
      </c>
      <c r="J1883" s="16">
        <v>16.070933080339</v>
      </c>
      <c r="K1883" s="16">
        <v>-96.302108826593994</v>
      </c>
      <c r="L1883" s="16" t="str">
        <f>HYPERLINK("https://maps.google.com/?q=16.070933080339,-96.302108826594", "🔗 Ver Mapa")</f>
        <v>🔗 Ver Mapa</v>
      </c>
    </row>
    <row r="1884" spans="1:12" ht="43.5" x14ac:dyDescent="0.35">
      <c r="A1884" s="6" t="s">
        <v>270</v>
      </c>
      <c r="B1884" s="6" t="s">
        <v>271</v>
      </c>
      <c r="C1884" s="6" t="s">
        <v>1308</v>
      </c>
      <c r="D1884" s="11" t="s">
        <v>273</v>
      </c>
      <c r="E1884" s="17" t="s">
        <v>79</v>
      </c>
      <c r="F1884" s="17" t="s">
        <v>195</v>
      </c>
      <c r="G1884" s="11" t="s">
        <v>1139</v>
      </c>
      <c r="H1884" s="11" t="s">
        <v>1309</v>
      </c>
      <c r="I1884" s="17" t="s">
        <v>138</v>
      </c>
      <c r="J1884" s="17">
        <v>16.071028443654999</v>
      </c>
      <c r="K1884" s="17">
        <v>-96.303006025509006</v>
      </c>
      <c r="L1884" s="17" t="str">
        <f>HYPERLINK("https://maps.google.com/?q=16.071028443655,-96.303006025509", "🔗 Ver Mapa")</f>
        <v>🔗 Ver Mapa</v>
      </c>
    </row>
    <row r="1885" spans="1:12" ht="43.5" x14ac:dyDescent="0.35">
      <c r="A1885" s="5" t="s">
        <v>270</v>
      </c>
      <c r="B1885" s="5" t="s">
        <v>271</v>
      </c>
      <c r="C1885" s="5" t="s">
        <v>1308</v>
      </c>
      <c r="D1885" s="8" t="s">
        <v>273</v>
      </c>
      <c r="E1885" s="16" t="s">
        <v>79</v>
      </c>
      <c r="F1885" s="16" t="s">
        <v>195</v>
      </c>
      <c r="G1885" s="8" t="s">
        <v>1139</v>
      </c>
      <c r="H1885" s="8" t="s">
        <v>1309</v>
      </c>
      <c r="I1885" s="16" t="s">
        <v>138</v>
      </c>
      <c r="J1885" s="16">
        <v>16.071081136623999</v>
      </c>
      <c r="K1885" s="16">
        <v>-96.303214519416997</v>
      </c>
      <c r="L1885" s="16" t="str">
        <f>HYPERLINK("https://maps.google.com/?q=16.071081136624,-96.303214519417", "🔗 Ver Mapa")</f>
        <v>🔗 Ver Mapa</v>
      </c>
    </row>
    <row r="1886" spans="1:12" ht="43.5" x14ac:dyDescent="0.35">
      <c r="A1886" s="6" t="s">
        <v>270</v>
      </c>
      <c r="B1886" s="6" t="s">
        <v>271</v>
      </c>
      <c r="C1886" s="6" t="s">
        <v>1308</v>
      </c>
      <c r="D1886" s="11" t="s">
        <v>273</v>
      </c>
      <c r="E1886" s="17" t="s">
        <v>79</v>
      </c>
      <c r="F1886" s="17" t="s">
        <v>195</v>
      </c>
      <c r="G1886" s="11" t="s">
        <v>1139</v>
      </c>
      <c r="H1886" s="11" t="s">
        <v>1309</v>
      </c>
      <c r="I1886" s="17" t="s">
        <v>138</v>
      </c>
      <c r="J1886" s="17">
        <v>16.071153904475</v>
      </c>
      <c r="K1886" s="17">
        <v>-96.303323129144005</v>
      </c>
      <c r="L1886" s="17" t="str">
        <f>HYPERLINK("https://maps.google.com/?q=16.071153904475,-96.303323129144", "🔗 Ver Mapa")</f>
        <v>🔗 Ver Mapa</v>
      </c>
    </row>
    <row r="1887" spans="1:12" ht="43.5" x14ac:dyDescent="0.35">
      <c r="A1887" s="5" t="s">
        <v>270</v>
      </c>
      <c r="B1887" s="5" t="s">
        <v>271</v>
      </c>
      <c r="C1887" s="5" t="s">
        <v>1308</v>
      </c>
      <c r="D1887" s="8" t="s">
        <v>273</v>
      </c>
      <c r="E1887" s="16" t="s">
        <v>79</v>
      </c>
      <c r="F1887" s="16" t="s">
        <v>195</v>
      </c>
      <c r="G1887" s="8" t="s">
        <v>1139</v>
      </c>
      <c r="H1887" s="8" t="s">
        <v>1309</v>
      </c>
      <c r="I1887" s="16" t="s">
        <v>138</v>
      </c>
      <c r="J1887" s="16">
        <v>16.071157955027001</v>
      </c>
      <c r="K1887" s="16">
        <v>-96.302004660712996</v>
      </c>
      <c r="L1887" s="16" t="str">
        <f>HYPERLINK("https://maps.google.com/?q=16.071157955027,-96.302004660713", "🔗 Ver Mapa")</f>
        <v>🔗 Ver Mapa</v>
      </c>
    </row>
    <row r="1888" spans="1:12" ht="43.5" x14ac:dyDescent="0.35">
      <c r="A1888" s="6" t="s">
        <v>270</v>
      </c>
      <c r="B1888" s="6" t="s">
        <v>271</v>
      </c>
      <c r="C1888" s="6" t="s">
        <v>1308</v>
      </c>
      <c r="D1888" s="11" t="s">
        <v>273</v>
      </c>
      <c r="E1888" s="17" t="s">
        <v>79</v>
      </c>
      <c r="F1888" s="17" t="s">
        <v>195</v>
      </c>
      <c r="G1888" s="11" t="s">
        <v>1139</v>
      </c>
      <c r="H1888" s="11" t="s">
        <v>1309</v>
      </c>
      <c r="I1888" s="17" t="s">
        <v>138</v>
      </c>
      <c r="J1888" s="17">
        <v>16.071168264564999</v>
      </c>
      <c r="K1888" s="17">
        <v>-96.303685735212994</v>
      </c>
      <c r="L1888" s="17" t="str">
        <f>HYPERLINK("https://maps.google.com/?q=16.071168264565,-96.303685735213", "🔗 Ver Mapa")</f>
        <v>🔗 Ver Mapa</v>
      </c>
    </row>
    <row r="1889" spans="1:12" ht="43.5" x14ac:dyDescent="0.35">
      <c r="A1889" s="5" t="s">
        <v>270</v>
      </c>
      <c r="B1889" s="5" t="s">
        <v>271</v>
      </c>
      <c r="C1889" s="5" t="s">
        <v>1308</v>
      </c>
      <c r="D1889" s="8" t="s">
        <v>273</v>
      </c>
      <c r="E1889" s="16" t="s">
        <v>79</v>
      </c>
      <c r="F1889" s="16" t="s">
        <v>195</v>
      </c>
      <c r="G1889" s="8" t="s">
        <v>1139</v>
      </c>
      <c r="H1889" s="8" t="s">
        <v>1309</v>
      </c>
      <c r="I1889" s="16" t="s">
        <v>138</v>
      </c>
      <c r="J1889" s="16">
        <v>16.071206925329001</v>
      </c>
      <c r="K1889" s="16">
        <v>-96.302203144179998</v>
      </c>
      <c r="L1889" s="16" t="str">
        <f>HYPERLINK("https://maps.google.com/?q=16.071206925329,-96.30220314418", "🔗 Ver Mapa")</f>
        <v>🔗 Ver Mapa</v>
      </c>
    </row>
    <row r="1890" spans="1:12" ht="43.5" x14ac:dyDescent="0.35">
      <c r="A1890" s="6" t="s">
        <v>270</v>
      </c>
      <c r="B1890" s="6" t="s">
        <v>271</v>
      </c>
      <c r="C1890" s="6" t="s">
        <v>1308</v>
      </c>
      <c r="D1890" s="11" t="s">
        <v>273</v>
      </c>
      <c r="E1890" s="17" t="s">
        <v>79</v>
      </c>
      <c r="F1890" s="17" t="s">
        <v>195</v>
      </c>
      <c r="G1890" s="11" t="s">
        <v>1139</v>
      </c>
      <c r="H1890" s="11" t="s">
        <v>1309</v>
      </c>
      <c r="I1890" s="17" t="s">
        <v>138</v>
      </c>
      <c r="J1890" s="17">
        <v>16.071233140787999</v>
      </c>
      <c r="K1890" s="17">
        <v>-96.303155002306994</v>
      </c>
      <c r="L1890" s="17" t="str">
        <f>HYPERLINK("https://maps.google.com/?q=16.071233140788,-96.303155002307", "🔗 Ver Mapa")</f>
        <v>🔗 Ver Mapa</v>
      </c>
    </row>
    <row r="1891" spans="1:12" ht="43.5" x14ac:dyDescent="0.35">
      <c r="A1891" s="5" t="s">
        <v>270</v>
      </c>
      <c r="B1891" s="5" t="s">
        <v>271</v>
      </c>
      <c r="C1891" s="5" t="s">
        <v>1308</v>
      </c>
      <c r="D1891" s="8" t="s">
        <v>273</v>
      </c>
      <c r="E1891" s="16" t="s">
        <v>79</v>
      </c>
      <c r="F1891" s="16" t="s">
        <v>195</v>
      </c>
      <c r="G1891" s="8" t="s">
        <v>1139</v>
      </c>
      <c r="H1891" s="8" t="s">
        <v>1309</v>
      </c>
      <c r="I1891" s="16" t="s">
        <v>138</v>
      </c>
      <c r="J1891" s="16">
        <v>16.071263802050002</v>
      </c>
      <c r="K1891" s="16">
        <v>-96.302401273639006</v>
      </c>
      <c r="L1891" s="16" t="str">
        <f>HYPERLINK("https://maps.google.com/?q=16.07126380205,-96.302401273639", "🔗 Ver Mapa")</f>
        <v>🔗 Ver Mapa</v>
      </c>
    </row>
    <row r="1892" spans="1:12" ht="43.5" x14ac:dyDescent="0.35">
      <c r="A1892" s="6" t="s">
        <v>270</v>
      </c>
      <c r="B1892" s="6" t="s">
        <v>271</v>
      </c>
      <c r="C1892" s="6" t="s">
        <v>1308</v>
      </c>
      <c r="D1892" s="11" t="s">
        <v>273</v>
      </c>
      <c r="E1892" s="17" t="s">
        <v>79</v>
      </c>
      <c r="F1892" s="17" t="s">
        <v>195</v>
      </c>
      <c r="G1892" s="11" t="s">
        <v>1139</v>
      </c>
      <c r="H1892" s="11" t="s">
        <v>1309</v>
      </c>
      <c r="I1892" s="17" t="s">
        <v>138</v>
      </c>
      <c r="J1892" s="17">
        <v>16.071295393945999</v>
      </c>
      <c r="K1892" s="17">
        <v>-96.303599578451994</v>
      </c>
      <c r="L1892" s="17" t="str">
        <f>HYPERLINK("https://maps.google.com/?q=16.071295393946,-96.303599578452", "🔗 Ver Mapa")</f>
        <v>🔗 Ver Mapa</v>
      </c>
    </row>
    <row r="1893" spans="1:12" ht="43.5" x14ac:dyDescent="0.35">
      <c r="A1893" s="5" t="s">
        <v>270</v>
      </c>
      <c r="B1893" s="5" t="s">
        <v>271</v>
      </c>
      <c r="C1893" s="5" t="s">
        <v>1308</v>
      </c>
      <c r="D1893" s="8" t="s">
        <v>273</v>
      </c>
      <c r="E1893" s="16" t="s">
        <v>79</v>
      </c>
      <c r="F1893" s="16" t="s">
        <v>195</v>
      </c>
      <c r="G1893" s="8" t="s">
        <v>1139</v>
      </c>
      <c r="H1893" s="8" t="s">
        <v>1309</v>
      </c>
      <c r="I1893" s="16" t="s">
        <v>138</v>
      </c>
      <c r="J1893" s="16">
        <v>16.071411804770001</v>
      </c>
      <c r="K1893" s="16">
        <v>-96.302101440043998</v>
      </c>
      <c r="L1893" s="16" t="str">
        <f>HYPERLINK("https://maps.google.com/?q=16.07141180477,-96.302101440044", "🔗 Ver Mapa")</f>
        <v>🔗 Ver Mapa</v>
      </c>
    </row>
    <row r="1894" spans="1:12" ht="43.5" x14ac:dyDescent="0.35">
      <c r="A1894" s="6" t="s">
        <v>270</v>
      </c>
      <c r="B1894" s="6" t="s">
        <v>271</v>
      </c>
      <c r="C1894" s="6" t="s">
        <v>1308</v>
      </c>
      <c r="D1894" s="11" t="s">
        <v>273</v>
      </c>
      <c r="E1894" s="17" t="s">
        <v>79</v>
      </c>
      <c r="F1894" s="17" t="s">
        <v>195</v>
      </c>
      <c r="G1894" s="11" t="s">
        <v>1139</v>
      </c>
      <c r="H1894" s="11" t="s">
        <v>1309</v>
      </c>
      <c r="I1894" s="17" t="s">
        <v>138</v>
      </c>
      <c r="J1894" s="17">
        <v>16.071459784737002</v>
      </c>
      <c r="K1894" s="17">
        <v>-96.302005052016</v>
      </c>
      <c r="L1894" s="17" t="str">
        <f>HYPERLINK("https://maps.google.com/?q=16.071459784737,-96.302005052016", "🔗 Ver Mapa")</f>
        <v>🔗 Ver Mapa</v>
      </c>
    </row>
    <row r="1895" spans="1:12" ht="43.5" x14ac:dyDescent="0.35">
      <c r="A1895" s="5" t="s">
        <v>270</v>
      </c>
      <c r="B1895" s="5" t="s">
        <v>271</v>
      </c>
      <c r="C1895" s="5" t="s">
        <v>1308</v>
      </c>
      <c r="D1895" s="8" t="s">
        <v>273</v>
      </c>
      <c r="E1895" s="16" t="s">
        <v>79</v>
      </c>
      <c r="F1895" s="16" t="s">
        <v>195</v>
      </c>
      <c r="G1895" s="8" t="s">
        <v>1139</v>
      </c>
      <c r="H1895" s="8" t="s">
        <v>1309</v>
      </c>
      <c r="I1895" s="16" t="s">
        <v>138</v>
      </c>
      <c r="J1895" s="16">
        <v>16.071498099115001</v>
      </c>
      <c r="K1895" s="16">
        <v>-96.301939449271998</v>
      </c>
      <c r="L1895" s="16" t="str">
        <f>HYPERLINK("https://maps.google.com/?q=16.071498099115,-96.301939449272", "🔗 Ver Mapa")</f>
        <v>🔗 Ver Mapa</v>
      </c>
    </row>
    <row r="1896" spans="1:12" ht="43.5" x14ac:dyDescent="0.35">
      <c r="A1896" s="6" t="s">
        <v>7</v>
      </c>
      <c r="B1896" s="6" t="s">
        <v>20</v>
      </c>
      <c r="C1896" s="6" t="s">
        <v>1310</v>
      </c>
      <c r="D1896" s="11" t="s">
        <v>235</v>
      </c>
      <c r="E1896" s="17" t="s">
        <v>73</v>
      </c>
      <c r="F1896" s="17" t="s">
        <v>249</v>
      </c>
      <c r="G1896" s="11" t="s">
        <v>1311</v>
      </c>
      <c r="H1896" s="11" t="s">
        <v>1312</v>
      </c>
      <c r="I1896" s="17" t="s">
        <v>138</v>
      </c>
      <c r="J1896" s="17">
        <v>17.984743999999999</v>
      </c>
      <c r="K1896" s="17">
        <v>-97.689128999999994</v>
      </c>
      <c r="L1896" s="17" t="str">
        <f>HYPERLINK("https://maps.google.com/?q=17.984744,-97.689129", "🔗 Ver Mapa")</f>
        <v>🔗 Ver Mapa</v>
      </c>
    </row>
    <row r="1897" spans="1:12" ht="43.5" x14ac:dyDescent="0.35">
      <c r="A1897" s="5" t="s">
        <v>4</v>
      </c>
      <c r="B1897" s="5" t="s">
        <v>17</v>
      </c>
      <c r="C1897" s="5" t="s">
        <v>1313</v>
      </c>
      <c r="D1897" s="8" t="s">
        <v>64</v>
      </c>
      <c r="E1897" s="16" t="s">
        <v>75</v>
      </c>
      <c r="F1897" s="16" t="s">
        <v>84</v>
      </c>
      <c r="G1897" s="8" t="s">
        <v>1314</v>
      </c>
      <c r="H1897" s="8" t="s">
        <v>1315</v>
      </c>
      <c r="I1897" s="16" t="s">
        <v>296</v>
      </c>
      <c r="J1897" s="16">
        <v>16.777526999999999</v>
      </c>
      <c r="K1897" s="16">
        <v>-96.032079999999993</v>
      </c>
      <c r="L1897" s="16" t="str">
        <f>HYPERLINK("https://maps.google.com/?q=16.777527,-96.03208", "🔗 Ver Mapa")</f>
        <v>🔗 Ver Mapa</v>
      </c>
    </row>
    <row r="1898" spans="1:12" ht="43.5" x14ac:dyDescent="0.35">
      <c r="A1898" s="6" t="s">
        <v>4</v>
      </c>
      <c r="B1898" s="6" t="s">
        <v>17</v>
      </c>
      <c r="C1898" s="6" t="s">
        <v>1313</v>
      </c>
      <c r="D1898" s="11" t="s">
        <v>64</v>
      </c>
      <c r="E1898" s="17" t="s">
        <v>75</v>
      </c>
      <c r="F1898" s="17" t="s">
        <v>84</v>
      </c>
      <c r="G1898" s="11" t="s">
        <v>1314</v>
      </c>
      <c r="H1898" s="11" t="s">
        <v>1315</v>
      </c>
      <c r="I1898" s="17" t="s">
        <v>296</v>
      </c>
      <c r="J1898" s="17">
        <v>16.777743000000001</v>
      </c>
      <c r="K1898" s="17">
        <v>-96.032077999999998</v>
      </c>
      <c r="L1898" s="17" t="str">
        <f>HYPERLINK("https://maps.google.com/?q=16.777743,-96.032078", "🔗 Ver Mapa")</f>
        <v>🔗 Ver Mapa</v>
      </c>
    </row>
    <row r="1899" spans="1:12" ht="43.5" x14ac:dyDescent="0.35">
      <c r="A1899" s="5" t="s">
        <v>4</v>
      </c>
      <c r="B1899" s="5" t="s">
        <v>17</v>
      </c>
      <c r="C1899" s="5" t="s">
        <v>1313</v>
      </c>
      <c r="D1899" s="8" t="s">
        <v>64</v>
      </c>
      <c r="E1899" s="16" t="s">
        <v>75</v>
      </c>
      <c r="F1899" s="16" t="s">
        <v>84</v>
      </c>
      <c r="G1899" s="8" t="s">
        <v>1314</v>
      </c>
      <c r="H1899" s="8" t="s">
        <v>1315</v>
      </c>
      <c r="I1899" s="16" t="s">
        <v>296</v>
      </c>
      <c r="J1899" s="16">
        <v>16.777757999999999</v>
      </c>
      <c r="K1899" s="16">
        <v>-96.032044999999997</v>
      </c>
      <c r="L1899" s="16" t="str">
        <f>HYPERLINK("https://maps.google.com/?q=16.777758,-96.032045", "🔗 Ver Mapa")</f>
        <v>🔗 Ver Mapa</v>
      </c>
    </row>
    <row r="1900" spans="1:12" ht="43.5" x14ac:dyDescent="0.35">
      <c r="A1900" s="6" t="s">
        <v>4</v>
      </c>
      <c r="B1900" s="6" t="s">
        <v>17</v>
      </c>
      <c r="C1900" s="6" t="s">
        <v>1313</v>
      </c>
      <c r="D1900" s="11" t="s">
        <v>64</v>
      </c>
      <c r="E1900" s="17" t="s">
        <v>75</v>
      </c>
      <c r="F1900" s="17" t="s">
        <v>84</v>
      </c>
      <c r="G1900" s="11" t="s">
        <v>1314</v>
      </c>
      <c r="H1900" s="11" t="s">
        <v>1315</v>
      </c>
      <c r="I1900" s="17" t="s">
        <v>296</v>
      </c>
      <c r="J1900" s="17">
        <v>16.777964000000001</v>
      </c>
      <c r="K1900" s="17">
        <v>-96.032229000000001</v>
      </c>
      <c r="L1900" s="17" t="str">
        <f>HYPERLINK("https://maps.google.com/?q=16.777964,-96.032229", "🔗 Ver Mapa")</f>
        <v>🔗 Ver Mapa</v>
      </c>
    </row>
    <row r="1901" spans="1:12" ht="43.5" x14ac:dyDescent="0.35">
      <c r="A1901" s="5" t="s">
        <v>4</v>
      </c>
      <c r="B1901" s="5" t="s">
        <v>17</v>
      </c>
      <c r="C1901" s="5" t="s">
        <v>1313</v>
      </c>
      <c r="D1901" s="8" t="s">
        <v>64</v>
      </c>
      <c r="E1901" s="16" t="s">
        <v>75</v>
      </c>
      <c r="F1901" s="16" t="s">
        <v>84</v>
      </c>
      <c r="G1901" s="8" t="s">
        <v>1314</v>
      </c>
      <c r="H1901" s="8" t="s">
        <v>1315</v>
      </c>
      <c r="I1901" s="16" t="s">
        <v>296</v>
      </c>
      <c r="J1901" s="16">
        <v>16.777982999999999</v>
      </c>
      <c r="K1901" s="16">
        <v>-96.032193000000007</v>
      </c>
      <c r="L1901" s="16" t="str">
        <f>HYPERLINK("https://maps.google.com/?q=16.777983,-96.032193", "🔗 Ver Mapa")</f>
        <v>🔗 Ver Mapa</v>
      </c>
    </row>
    <row r="1902" spans="1:12" ht="43.5" x14ac:dyDescent="0.35">
      <c r="A1902" s="6" t="s">
        <v>4</v>
      </c>
      <c r="B1902" s="6" t="s">
        <v>17</v>
      </c>
      <c r="C1902" s="6" t="s">
        <v>1313</v>
      </c>
      <c r="D1902" s="11" t="s">
        <v>64</v>
      </c>
      <c r="E1902" s="17" t="s">
        <v>75</v>
      </c>
      <c r="F1902" s="17" t="s">
        <v>84</v>
      </c>
      <c r="G1902" s="11" t="s">
        <v>1314</v>
      </c>
      <c r="H1902" s="11" t="s">
        <v>1315</v>
      </c>
      <c r="I1902" s="17" t="s">
        <v>296</v>
      </c>
      <c r="J1902" s="17">
        <v>16.778057</v>
      </c>
      <c r="K1902" s="17">
        <v>-96.032291999999998</v>
      </c>
      <c r="L1902" s="17" t="str">
        <f>HYPERLINK("https://maps.google.com/?q=16.778057,-96.032292", "🔗 Ver Mapa")</f>
        <v>🔗 Ver Mapa</v>
      </c>
    </row>
    <row r="1903" spans="1:12" ht="43.5" x14ac:dyDescent="0.35">
      <c r="A1903" s="5" t="s">
        <v>4</v>
      </c>
      <c r="B1903" s="5" t="s">
        <v>17</v>
      </c>
      <c r="C1903" s="5" t="s">
        <v>1313</v>
      </c>
      <c r="D1903" s="8" t="s">
        <v>64</v>
      </c>
      <c r="E1903" s="16" t="s">
        <v>75</v>
      </c>
      <c r="F1903" s="16" t="s">
        <v>84</v>
      </c>
      <c r="G1903" s="8" t="s">
        <v>1314</v>
      </c>
      <c r="H1903" s="8" t="s">
        <v>1315</v>
      </c>
      <c r="I1903" s="16" t="s">
        <v>296</v>
      </c>
      <c r="J1903" s="16">
        <v>16.778092000000001</v>
      </c>
      <c r="K1903" s="16">
        <v>-96.032263999999998</v>
      </c>
      <c r="L1903" s="16" t="str">
        <f>HYPERLINK("https://maps.google.com/?q=16.778092,-96.032264", "🔗 Ver Mapa")</f>
        <v>🔗 Ver Mapa</v>
      </c>
    </row>
    <row r="1904" spans="1:12" ht="43.5" x14ac:dyDescent="0.35">
      <c r="A1904" s="6" t="s">
        <v>4</v>
      </c>
      <c r="B1904" s="6" t="s">
        <v>17</v>
      </c>
      <c r="C1904" s="6" t="s">
        <v>1313</v>
      </c>
      <c r="D1904" s="11" t="s">
        <v>64</v>
      </c>
      <c r="E1904" s="17" t="s">
        <v>75</v>
      </c>
      <c r="F1904" s="17" t="s">
        <v>84</v>
      </c>
      <c r="G1904" s="11" t="s">
        <v>1314</v>
      </c>
      <c r="H1904" s="11" t="s">
        <v>1315</v>
      </c>
      <c r="I1904" s="17" t="s">
        <v>296</v>
      </c>
      <c r="J1904" s="17">
        <v>16.778164</v>
      </c>
      <c r="K1904" s="17">
        <v>-96.032403000000002</v>
      </c>
      <c r="L1904" s="17" t="str">
        <f>HYPERLINK("https://maps.google.com/?q=16.778164,-96.032403", "🔗 Ver Mapa")</f>
        <v>🔗 Ver Mapa</v>
      </c>
    </row>
    <row r="1905" spans="1:12" ht="43.5" x14ac:dyDescent="0.35">
      <c r="A1905" s="5" t="s">
        <v>4</v>
      </c>
      <c r="B1905" s="5" t="s">
        <v>17</v>
      </c>
      <c r="C1905" s="5" t="s">
        <v>1313</v>
      </c>
      <c r="D1905" s="8" t="s">
        <v>64</v>
      </c>
      <c r="E1905" s="16" t="s">
        <v>75</v>
      </c>
      <c r="F1905" s="16" t="s">
        <v>84</v>
      </c>
      <c r="G1905" s="8" t="s">
        <v>1314</v>
      </c>
      <c r="H1905" s="8" t="s">
        <v>1315</v>
      </c>
      <c r="I1905" s="16" t="s">
        <v>296</v>
      </c>
      <c r="J1905" s="16">
        <v>16.778206000000001</v>
      </c>
      <c r="K1905" s="16">
        <v>-96.032394999999994</v>
      </c>
      <c r="L1905" s="16" t="str">
        <f>HYPERLINK("https://maps.google.com/?q=16.778206,-96.032395", "🔗 Ver Mapa")</f>
        <v>🔗 Ver Mapa</v>
      </c>
    </row>
    <row r="1906" spans="1:12" ht="43.5" x14ac:dyDescent="0.35">
      <c r="A1906" s="6" t="s">
        <v>4</v>
      </c>
      <c r="B1906" s="6" t="s">
        <v>17</v>
      </c>
      <c r="C1906" s="6" t="s">
        <v>1313</v>
      </c>
      <c r="D1906" s="11" t="s">
        <v>64</v>
      </c>
      <c r="E1906" s="17" t="s">
        <v>75</v>
      </c>
      <c r="F1906" s="17" t="s">
        <v>84</v>
      </c>
      <c r="G1906" s="11" t="s">
        <v>1314</v>
      </c>
      <c r="H1906" s="11" t="s">
        <v>1315</v>
      </c>
      <c r="I1906" s="17" t="s">
        <v>296</v>
      </c>
      <c r="J1906" s="17">
        <v>16.778252999999999</v>
      </c>
      <c r="K1906" s="17">
        <v>-96.032584999999997</v>
      </c>
      <c r="L1906" s="17" t="str">
        <f>HYPERLINK("https://maps.google.com/?q=16.778253,-96.032585", "🔗 Ver Mapa")</f>
        <v>🔗 Ver Mapa</v>
      </c>
    </row>
    <row r="1907" spans="1:12" ht="43.5" x14ac:dyDescent="0.35">
      <c r="A1907" s="5" t="s">
        <v>4</v>
      </c>
      <c r="B1907" s="5" t="s">
        <v>17</v>
      </c>
      <c r="C1907" s="5" t="s">
        <v>1313</v>
      </c>
      <c r="D1907" s="8" t="s">
        <v>64</v>
      </c>
      <c r="E1907" s="16" t="s">
        <v>75</v>
      </c>
      <c r="F1907" s="16" t="s">
        <v>84</v>
      </c>
      <c r="G1907" s="8" t="s">
        <v>1314</v>
      </c>
      <c r="H1907" s="8" t="s">
        <v>1315</v>
      </c>
      <c r="I1907" s="16" t="s">
        <v>296</v>
      </c>
      <c r="J1907" s="16">
        <v>16.778295</v>
      </c>
      <c r="K1907" s="16">
        <v>-96.032568999999995</v>
      </c>
      <c r="L1907" s="16" t="str">
        <f>HYPERLINK("https://maps.google.com/?q=16.778295,-96.032569", "🔗 Ver Mapa")</f>
        <v>🔗 Ver Mapa</v>
      </c>
    </row>
    <row r="1908" spans="1:12" ht="43.5" x14ac:dyDescent="0.35">
      <c r="A1908" s="6" t="s">
        <v>4</v>
      </c>
      <c r="B1908" s="6" t="s">
        <v>17</v>
      </c>
      <c r="C1908" s="6" t="s">
        <v>1313</v>
      </c>
      <c r="D1908" s="11" t="s">
        <v>64</v>
      </c>
      <c r="E1908" s="17" t="s">
        <v>75</v>
      </c>
      <c r="F1908" s="17" t="s">
        <v>84</v>
      </c>
      <c r="G1908" s="11" t="s">
        <v>1314</v>
      </c>
      <c r="H1908" s="11" t="s">
        <v>1315</v>
      </c>
      <c r="I1908" s="17" t="s">
        <v>296</v>
      </c>
      <c r="J1908" s="17">
        <v>16.778365000000001</v>
      </c>
      <c r="K1908" s="17">
        <v>-96.032691</v>
      </c>
      <c r="L1908" s="17" t="str">
        <f>HYPERLINK("https://maps.google.com/?q=16.778365,-96.032691", "🔗 Ver Mapa")</f>
        <v>🔗 Ver Mapa</v>
      </c>
    </row>
    <row r="1909" spans="1:12" ht="43.5" x14ac:dyDescent="0.35">
      <c r="A1909" s="5" t="s">
        <v>4</v>
      </c>
      <c r="B1909" s="5" t="s">
        <v>17</v>
      </c>
      <c r="C1909" s="5" t="s">
        <v>1313</v>
      </c>
      <c r="D1909" s="8" t="s">
        <v>64</v>
      </c>
      <c r="E1909" s="16" t="s">
        <v>75</v>
      </c>
      <c r="F1909" s="16" t="s">
        <v>84</v>
      </c>
      <c r="G1909" s="8" t="s">
        <v>1314</v>
      </c>
      <c r="H1909" s="8" t="s">
        <v>1315</v>
      </c>
      <c r="I1909" s="16" t="s">
        <v>296</v>
      </c>
      <c r="J1909" s="16">
        <v>16.778455999999998</v>
      </c>
      <c r="K1909" s="16">
        <v>-96.032814000000002</v>
      </c>
      <c r="L1909" s="16" t="str">
        <f>HYPERLINK("https://maps.google.com/?q=16.778456,-96.032814", "🔗 Ver Mapa")</f>
        <v>🔗 Ver Mapa</v>
      </c>
    </row>
    <row r="1910" spans="1:12" ht="43.5" x14ac:dyDescent="0.35">
      <c r="A1910" s="6" t="s">
        <v>4</v>
      </c>
      <c r="B1910" s="6" t="s">
        <v>17</v>
      </c>
      <c r="C1910" s="6" t="s">
        <v>1313</v>
      </c>
      <c r="D1910" s="11" t="s">
        <v>64</v>
      </c>
      <c r="E1910" s="17" t="s">
        <v>75</v>
      </c>
      <c r="F1910" s="17" t="s">
        <v>84</v>
      </c>
      <c r="G1910" s="11" t="s">
        <v>1314</v>
      </c>
      <c r="H1910" s="11" t="s">
        <v>1315</v>
      </c>
      <c r="I1910" s="17" t="s">
        <v>296</v>
      </c>
      <c r="J1910" s="17">
        <v>16.778490000000001</v>
      </c>
      <c r="K1910" s="17">
        <v>-96.032803999999999</v>
      </c>
      <c r="L1910" s="17" t="str">
        <f>HYPERLINK("https://maps.google.com/?q=16.77849,-96.032804", "🔗 Ver Mapa")</f>
        <v>🔗 Ver Mapa</v>
      </c>
    </row>
    <row r="1911" spans="1:12" ht="43.5" x14ac:dyDescent="0.35">
      <c r="A1911" s="5" t="s">
        <v>4</v>
      </c>
      <c r="B1911" s="5" t="s">
        <v>17</v>
      </c>
      <c r="C1911" s="5" t="s">
        <v>1313</v>
      </c>
      <c r="D1911" s="8" t="s">
        <v>64</v>
      </c>
      <c r="E1911" s="16" t="s">
        <v>75</v>
      </c>
      <c r="F1911" s="16" t="s">
        <v>84</v>
      </c>
      <c r="G1911" s="8" t="s">
        <v>1314</v>
      </c>
      <c r="H1911" s="8" t="s">
        <v>1315</v>
      </c>
      <c r="I1911" s="16" t="s">
        <v>296</v>
      </c>
      <c r="J1911" s="16">
        <v>16.778537</v>
      </c>
      <c r="K1911" s="16">
        <v>-96.033043000000006</v>
      </c>
      <c r="L1911" s="16" t="str">
        <f>HYPERLINK("https://maps.google.com/?q=16.778537,-96.033043", "🔗 Ver Mapa")</f>
        <v>🔗 Ver Mapa</v>
      </c>
    </row>
    <row r="1912" spans="1:12" ht="43.5" x14ac:dyDescent="0.35">
      <c r="A1912" s="6" t="s">
        <v>4</v>
      </c>
      <c r="B1912" s="6" t="s">
        <v>17</v>
      </c>
      <c r="C1912" s="6" t="s">
        <v>1313</v>
      </c>
      <c r="D1912" s="11" t="s">
        <v>64</v>
      </c>
      <c r="E1912" s="17" t="s">
        <v>75</v>
      </c>
      <c r="F1912" s="17" t="s">
        <v>84</v>
      </c>
      <c r="G1912" s="11" t="s">
        <v>1314</v>
      </c>
      <c r="H1912" s="11" t="s">
        <v>1315</v>
      </c>
      <c r="I1912" s="17" t="s">
        <v>296</v>
      </c>
      <c r="J1912" s="17">
        <v>16.778583000000001</v>
      </c>
      <c r="K1912" s="17">
        <v>-96.033079999999998</v>
      </c>
      <c r="L1912" s="17" t="str">
        <f>HYPERLINK("https://maps.google.com/?q=16.778583,-96.03308", "🔗 Ver Mapa")</f>
        <v>🔗 Ver Mapa</v>
      </c>
    </row>
    <row r="1913" spans="1:12" ht="43.5" x14ac:dyDescent="0.35">
      <c r="A1913" s="5" t="s">
        <v>4</v>
      </c>
      <c r="B1913" s="5" t="s">
        <v>17</v>
      </c>
      <c r="C1913" s="5" t="s">
        <v>1313</v>
      </c>
      <c r="D1913" s="8" t="s">
        <v>64</v>
      </c>
      <c r="E1913" s="16" t="s">
        <v>75</v>
      </c>
      <c r="F1913" s="16" t="s">
        <v>84</v>
      </c>
      <c r="G1913" s="8" t="s">
        <v>1314</v>
      </c>
      <c r="H1913" s="8" t="s">
        <v>1315</v>
      </c>
      <c r="I1913" s="16" t="s">
        <v>296</v>
      </c>
      <c r="J1913" s="16">
        <v>16.778587999999999</v>
      </c>
      <c r="K1913" s="16">
        <v>-96.033252000000005</v>
      </c>
      <c r="L1913" s="16" t="str">
        <f>HYPERLINK("https://maps.google.com/?q=16.778588,-96.033252", "🔗 Ver Mapa")</f>
        <v>🔗 Ver Mapa</v>
      </c>
    </row>
    <row r="1914" spans="1:12" ht="43.5" x14ac:dyDescent="0.35">
      <c r="A1914" s="6" t="s">
        <v>4</v>
      </c>
      <c r="B1914" s="6" t="s">
        <v>17</v>
      </c>
      <c r="C1914" s="6" t="s">
        <v>1313</v>
      </c>
      <c r="D1914" s="11" t="s">
        <v>64</v>
      </c>
      <c r="E1914" s="17" t="s">
        <v>75</v>
      </c>
      <c r="F1914" s="17" t="s">
        <v>84</v>
      </c>
      <c r="G1914" s="11" t="s">
        <v>1314</v>
      </c>
      <c r="H1914" s="11" t="s">
        <v>1315</v>
      </c>
      <c r="I1914" s="17" t="s">
        <v>296</v>
      </c>
      <c r="J1914" s="17">
        <v>16.778649000000001</v>
      </c>
      <c r="K1914" s="17">
        <v>-96.033456000000001</v>
      </c>
      <c r="L1914" s="17" t="str">
        <f>HYPERLINK("https://maps.google.com/?q=16.778649,-96.033456", "🔗 Ver Mapa")</f>
        <v>🔗 Ver Mapa</v>
      </c>
    </row>
    <row r="1915" spans="1:12" ht="43.5" x14ac:dyDescent="0.35">
      <c r="A1915" s="5" t="s">
        <v>4</v>
      </c>
      <c r="B1915" s="5" t="s">
        <v>17</v>
      </c>
      <c r="C1915" s="5" t="s">
        <v>1313</v>
      </c>
      <c r="D1915" s="8" t="s">
        <v>64</v>
      </c>
      <c r="E1915" s="16" t="s">
        <v>75</v>
      </c>
      <c r="F1915" s="16" t="s">
        <v>84</v>
      </c>
      <c r="G1915" s="8" t="s">
        <v>1314</v>
      </c>
      <c r="H1915" s="8" t="s">
        <v>1315</v>
      </c>
      <c r="I1915" s="16" t="s">
        <v>296</v>
      </c>
      <c r="J1915" s="16">
        <v>16.778686</v>
      </c>
      <c r="K1915" s="16">
        <v>-96.033490999999998</v>
      </c>
      <c r="L1915" s="16" t="str">
        <f>HYPERLINK("https://maps.google.com/?q=16.778686,-96.033491", "🔗 Ver Mapa")</f>
        <v>🔗 Ver Mapa</v>
      </c>
    </row>
    <row r="1916" spans="1:12" ht="43.5" x14ac:dyDescent="0.35">
      <c r="A1916" s="6" t="s">
        <v>4</v>
      </c>
      <c r="B1916" s="6" t="s">
        <v>17</v>
      </c>
      <c r="C1916" s="6" t="s">
        <v>1313</v>
      </c>
      <c r="D1916" s="11" t="s">
        <v>64</v>
      </c>
      <c r="E1916" s="17" t="s">
        <v>75</v>
      </c>
      <c r="F1916" s="17" t="s">
        <v>84</v>
      </c>
      <c r="G1916" s="11" t="s">
        <v>1314</v>
      </c>
      <c r="H1916" s="11" t="s">
        <v>1315</v>
      </c>
      <c r="I1916" s="17" t="s">
        <v>296</v>
      </c>
      <c r="J1916" s="17">
        <v>16.778694000000002</v>
      </c>
      <c r="K1916" s="17">
        <v>-96.033448000000007</v>
      </c>
      <c r="L1916" s="17" t="str">
        <f>HYPERLINK("https://maps.google.com/?q=16.778694,-96.033448", "🔗 Ver Mapa")</f>
        <v>🔗 Ver Mapa</v>
      </c>
    </row>
    <row r="1917" spans="1:12" ht="43.5" x14ac:dyDescent="0.35">
      <c r="A1917" s="5" t="s">
        <v>4</v>
      </c>
      <c r="B1917" s="5" t="s">
        <v>17</v>
      </c>
      <c r="C1917" s="5" t="s">
        <v>1313</v>
      </c>
      <c r="D1917" s="8" t="s">
        <v>64</v>
      </c>
      <c r="E1917" s="16" t="s">
        <v>75</v>
      </c>
      <c r="F1917" s="16" t="s">
        <v>84</v>
      </c>
      <c r="G1917" s="8" t="s">
        <v>1314</v>
      </c>
      <c r="H1917" s="8" t="s">
        <v>1315</v>
      </c>
      <c r="I1917" s="16" t="s">
        <v>296</v>
      </c>
      <c r="J1917" s="16">
        <v>16.778801999999999</v>
      </c>
      <c r="K1917" s="16">
        <v>-96.036646000000005</v>
      </c>
      <c r="L1917" s="16" t="str">
        <f>HYPERLINK("https://maps.google.com/?q=16.778802,-96.036646", "🔗 Ver Mapa")</f>
        <v>🔗 Ver Mapa</v>
      </c>
    </row>
    <row r="1918" spans="1:12" ht="43.5" x14ac:dyDescent="0.35">
      <c r="A1918" s="6" t="s">
        <v>4</v>
      </c>
      <c r="B1918" s="6" t="s">
        <v>17</v>
      </c>
      <c r="C1918" s="6" t="s">
        <v>1313</v>
      </c>
      <c r="D1918" s="11" t="s">
        <v>64</v>
      </c>
      <c r="E1918" s="17" t="s">
        <v>75</v>
      </c>
      <c r="F1918" s="17" t="s">
        <v>84</v>
      </c>
      <c r="G1918" s="11" t="s">
        <v>1314</v>
      </c>
      <c r="H1918" s="11" t="s">
        <v>1315</v>
      </c>
      <c r="I1918" s="17" t="s">
        <v>296</v>
      </c>
      <c r="J1918" s="17">
        <v>16.778846000000001</v>
      </c>
      <c r="K1918" s="17">
        <v>-96.036868999999996</v>
      </c>
      <c r="L1918" s="17" t="str">
        <f>HYPERLINK("https://maps.google.com/?q=16.778846,-96.036869", "🔗 Ver Mapa")</f>
        <v>🔗 Ver Mapa</v>
      </c>
    </row>
    <row r="1919" spans="1:12" ht="43.5" x14ac:dyDescent="0.35">
      <c r="A1919" s="5" t="s">
        <v>4</v>
      </c>
      <c r="B1919" s="5" t="s">
        <v>17</v>
      </c>
      <c r="C1919" s="5" t="s">
        <v>1313</v>
      </c>
      <c r="D1919" s="8" t="s">
        <v>64</v>
      </c>
      <c r="E1919" s="16" t="s">
        <v>75</v>
      </c>
      <c r="F1919" s="16" t="s">
        <v>84</v>
      </c>
      <c r="G1919" s="8" t="s">
        <v>1314</v>
      </c>
      <c r="H1919" s="8" t="s">
        <v>1315</v>
      </c>
      <c r="I1919" s="16" t="s">
        <v>296</v>
      </c>
      <c r="J1919" s="16">
        <v>16.778886</v>
      </c>
      <c r="K1919" s="16">
        <v>-96.037325999999993</v>
      </c>
      <c r="L1919" s="16" t="str">
        <f>HYPERLINK("https://maps.google.com/?q=16.778886,-96.037326", "🔗 Ver Mapa")</f>
        <v>🔗 Ver Mapa</v>
      </c>
    </row>
    <row r="1920" spans="1:12" ht="43.5" x14ac:dyDescent="0.35">
      <c r="A1920" s="6" t="s">
        <v>4</v>
      </c>
      <c r="B1920" s="6" t="s">
        <v>17</v>
      </c>
      <c r="C1920" s="6" t="s">
        <v>1313</v>
      </c>
      <c r="D1920" s="11" t="s">
        <v>64</v>
      </c>
      <c r="E1920" s="17" t="s">
        <v>75</v>
      </c>
      <c r="F1920" s="17" t="s">
        <v>84</v>
      </c>
      <c r="G1920" s="11" t="s">
        <v>1314</v>
      </c>
      <c r="H1920" s="11" t="s">
        <v>1315</v>
      </c>
      <c r="I1920" s="17" t="s">
        <v>296</v>
      </c>
      <c r="J1920" s="17">
        <v>16.778911000000001</v>
      </c>
      <c r="K1920" s="17">
        <v>-96.033574000000002</v>
      </c>
      <c r="L1920" s="17" t="str">
        <f>HYPERLINK("https://maps.google.com/?q=16.778911,-96.033574", "🔗 Ver Mapa")</f>
        <v>🔗 Ver Mapa</v>
      </c>
    </row>
    <row r="1921" spans="1:12" ht="43.5" x14ac:dyDescent="0.35">
      <c r="A1921" s="5" t="s">
        <v>4</v>
      </c>
      <c r="B1921" s="5" t="s">
        <v>17</v>
      </c>
      <c r="C1921" s="5" t="s">
        <v>1313</v>
      </c>
      <c r="D1921" s="8" t="s">
        <v>64</v>
      </c>
      <c r="E1921" s="16" t="s">
        <v>75</v>
      </c>
      <c r="F1921" s="16" t="s">
        <v>84</v>
      </c>
      <c r="G1921" s="8" t="s">
        <v>1314</v>
      </c>
      <c r="H1921" s="8" t="s">
        <v>1315</v>
      </c>
      <c r="I1921" s="16" t="s">
        <v>296</v>
      </c>
      <c r="J1921" s="16">
        <v>16.778922000000001</v>
      </c>
      <c r="K1921" s="16">
        <v>-96.036235000000005</v>
      </c>
      <c r="L1921" s="16" t="str">
        <f>HYPERLINK("https://maps.google.com/?q=16.778922,-96.036235", "🔗 Ver Mapa")</f>
        <v>🔗 Ver Mapa</v>
      </c>
    </row>
    <row r="1922" spans="1:12" ht="43.5" x14ac:dyDescent="0.35">
      <c r="A1922" s="6" t="s">
        <v>4</v>
      </c>
      <c r="B1922" s="6" t="s">
        <v>17</v>
      </c>
      <c r="C1922" s="6" t="s">
        <v>1313</v>
      </c>
      <c r="D1922" s="11" t="s">
        <v>64</v>
      </c>
      <c r="E1922" s="17" t="s">
        <v>75</v>
      </c>
      <c r="F1922" s="17" t="s">
        <v>84</v>
      </c>
      <c r="G1922" s="11" t="s">
        <v>1314</v>
      </c>
      <c r="H1922" s="11" t="s">
        <v>1315</v>
      </c>
      <c r="I1922" s="17" t="s">
        <v>296</v>
      </c>
      <c r="J1922" s="17">
        <v>16.778972</v>
      </c>
      <c r="K1922" s="17">
        <v>-96.035953000000006</v>
      </c>
      <c r="L1922" s="17" t="str">
        <f>HYPERLINK("https://maps.google.com/?q=16.778972,-96.035953", "🔗 Ver Mapa")</f>
        <v>🔗 Ver Mapa</v>
      </c>
    </row>
    <row r="1923" spans="1:12" ht="43.5" x14ac:dyDescent="0.35">
      <c r="A1923" s="5" t="s">
        <v>4</v>
      </c>
      <c r="B1923" s="5" t="s">
        <v>17</v>
      </c>
      <c r="C1923" s="5" t="s">
        <v>1313</v>
      </c>
      <c r="D1923" s="8" t="s">
        <v>64</v>
      </c>
      <c r="E1923" s="16" t="s">
        <v>75</v>
      </c>
      <c r="F1923" s="16" t="s">
        <v>84</v>
      </c>
      <c r="G1923" s="8" t="s">
        <v>1314</v>
      </c>
      <c r="H1923" s="8" t="s">
        <v>1315</v>
      </c>
      <c r="I1923" s="16" t="s">
        <v>296</v>
      </c>
      <c r="J1923" s="16">
        <v>16.779019999999999</v>
      </c>
      <c r="K1923" s="16">
        <v>-96.037672000000001</v>
      </c>
      <c r="L1923" s="16" t="str">
        <f>HYPERLINK("https://maps.google.com/?q=16.77902,-96.037672", "🔗 Ver Mapa")</f>
        <v>🔗 Ver Mapa</v>
      </c>
    </row>
    <row r="1924" spans="1:12" ht="43.5" x14ac:dyDescent="0.35">
      <c r="A1924" s="6" t="s">
        <v>4</v>
      </c>
      <c r="B1924" s="6" t="s">
        <v>17</v>
      </c>
      <c r="C1924" s="6" t="s">
        <v>1313</v>
      </c>
      <c r="D1924" s="11" t="s">
        <v>64</v>
      </c>
      <c r="E1924" s="17" t="s">
        <v>75</v>
      </c>
      <c r="F1924" s="17" t="s">
        <v>84</v>
      </c>
      <c r="G1924" s="11" t="s">
        <v>1314</v>
      </c>
      <c r="H1924" s="11" t="s">
        <v>1315</v>
      </c>
      <c r="I1924" s="17" t="s">
        <v>296</v>
      </c>
      <c r="J1924" s="17">
        <v>16.779024</v>
      </c>
      <c r="K1924" s="17">
        <v>-96.038163999999995</v>
      </c>
      <c r="L1924" s="17" t="str">
        <f>HYPERLINK("https://maps.google.com/?q=16.779024,-96.038164", "🔗 Ver Mapa")</f>
        <v>🔗 Ver Mapa</v>
      </c>
    </row>
    <row r="1925" spans="1:12" ht="43.5" x14ac:dyDescent="0.35">
      <c r="A1925" s="5" t="s">
        <v>4</v>
      </c>
      <c r="B1925" s="5" t="s">
        <v>17</v>
      </c>
      <c r="C1925" s="5" t="s">
        <v>1313</v>
      </c>
      <c r="D1925" s="8" t="s">
        <v>64</v>
      </c>
      <c r="E1925" s="16" t="s">
        <v>75</v>
      </c>
      <c r="F1925" s="16" t="s">
        <v>84</v>
      </c>
      <c r="G1925" s="8" t="s">
        <v>1314</v>
      </c>
      <c r="H1925" s="8" t="s">
        <v>1315</v>
      </c>
      <c r="I1925" s="16" t="s">
        <v>296</v>
      </c>
      <c r="J1925" s="16">
        <v>16.779070000000001</v>
      </c>
      <c r="K1925" s="16">
        <v>-96.035572999999999</v>
      </c>
      <c r="L1925" s="16" t="str">
        <f>HYPERLINK("https://maps.google.com/?q=16.77907,-96.035573", "🔗 Ver Mapa")</f>
        <v>🔗 Ver Mapa</v>
      </c>
    </row>
    <row r="1926" spans="1:12" ht="43.5" x14ac:dyDescent="0.35">
      <c r="A1926" s="6" t="s">
        <v>4</v>
      </c>
      <c r="B1926" s="6" t="s">
        <v>17</v>
      </c>
      <c r="C1926" s="6" t="s">
        <v>1313</v>
      </c>
      <c r="D1926" s="11" t="s">
        <v>64</v>
      </c>
      <c r="E1926" s="17" t="s">
        <v>75</v>
      </c>
      <c r="F1926" s="17" t="s">
        <v>84</v>
      </c>
      <c r="G1926" s="11" t="s">
        <v>1314</v>
      </c>
      <c r="H1926" s="11" t="s">
        <v>1315</v>
      </c>
      <c r="I1926" s="17" t="s">
        <v>296</v>
      </c>
      <c r="J1926" s="17">
        <v>16.779140000000002</v>
      </c>
      <c r="K1926" s="17">
        <v>-96.033682999999996</v>
      </c>
      <c r="L1926" s="17" t="str">
        <f>HYPERLINK("https://maps.google.com/?q=16.77914,-96.033683", "🔗 Ver Mapa")</f>
        <v>🔗 Ver Mapa</v>
      </c>
    </row>
    <row r="1927" spans="1:12" ht="43.5" x14ac:dyDescent="0.35">
      <c r="A1927" s="5" t="s">
        <v>4</v>
      </c>
      <c r="B1927" s="5" t="s">
        <v>17</v>
      </c>
      <c r="C1927" s="5" t="s">
        <v>1313</v>
      </c>
      <c r="D1927" s="8" t="s">
        <v>64</v>
      </c>
      <c r="E1927" s="16" t="s">
        <v>75</v>
      </c>
      <c r="F1927" s="16" t="s">
        <v>84</v>
      </c>
      <c r="G1927" s="8" t="s">
        <v>1314</v>
      </c>
      <c r="H1927" s="8" t="s">
        <v>1315</v>
      </c>
      <c r="I1927" s="16" t="s">
        <v>296</v>
      </c>
      <c r="J1927" s="16">
        <v>16.779146999999998</v>
      </c>
      <c r="K1927" s="16">
        <v>-96.038214999999994</v>
      </c>
      <c r="L1927" s="16" t="str">
        <f>HYPERLINK("https://maps.google.com/?q=16.779147,-96.038215", "🔗 Ver Mapa")</f>
        <v>🔗 Ver Mapa</v>
      </c>
    </row>
    <row r="1928" spans="1:12" ht="43.5" x14ac:dyDescent="0.35">
      <c r="A1928" s="6" t="s">
        <v>4</v>
      </c>
      <c r="B1928" s="6" t="s">
        <v>17</v>
      </c>
      <c r="C1928" s="6" t="s">
        <v>1313</v>
      </c>
      <c r="D1928" s="11" t="s">
        <v>64</v>
      </c>
      <c r="E1928" s="17" t="s">
        <v>75</v>
      </c>
      <c r="F1928" s="17" t="s">
        <v>84</v>
      </c>
      <c r="G1928" s="11" t="s">
        <v>1314</v>
      </c>
      <c r="H1928" s="11" t="s">
        <v>1315</v>
      </c>
      <c r="I1928" s="17" t="s">
        <v>296</v>
      </c>
      <c r="J1928" s="17">
        <v>16.779150000000001</v>
      </c>
      <c r="K1928" s="17">
        <v>-96.033637999999996</v>
      </c>
      <c r="L1928" s="17" t="str">
        <f>HYPERLINK("https://maps.google.com/?q=16.77915,-96.033638", "🔗 Ver Mapa")</f>
        <v>🔗 Ver Mapa</v>
      </c>
    </row>
    <row r="1929" spans="1:12" ht="43.5" x14ac:dyDescent="0.35">
      <c r="A1929" s="5" t="s">
        <v>4</v>
      </c>
      <c r="B1929" s="5" t="s">
        <v>17</v>
      </c>
      <c r="C1929" s="5" t="s">
        <v>1313</v>
      </c>
      <c r="D1929" s="8" t="s">
        <v>64</v>
      </c>
      <c r="E1929" s="16" t="s">
        <v>75</v>
      </c>
      <c r="F1929" s="16" t="s">
        <v>84</v>
      </c>
      <c r="G1929" s="8" t="s">
        <v>1314</v>
      </c>
      <c r="H1929" s="8" t="s">
        <v>1315</v>
      </c>
      <c r="I1929" s="16" t="s">
        <v>296</v>
      </c>
      <c r="J1929" s="16">
        <v>16.779154999999999</v>
      </c>
      <c r="K1929" s="16">
        <v>-96.035246999999998</v>
      </c>
      <c r="L1929" s="16" t="str">
        <f>HYPERLINK("https://maps.google.com/?q=16.779155,-96.035247", "🔗 Ver Mapa")</f>
        <v>🔗 Ver Mapa</v>
      </c>
    </row>
    <row r="1930" spans="1:12" ht="43.5" x14ac:dyDescent="0.35">
      <c r="A1930" s="6" t="s">
        <v>4</v>
      </c>
      <c r="B1930" s="6" t="s">
        <v>17</v>
      </c>
      <c r="C1930" s="6" t="s">
        <v>1313</v>
      </c>
      <c r="D1930" s="11" t="s">
        <v>64</v>
      </c>
      <c r="E1930" s="17" t="s">
        <v>75</v>
      </c>
      <c r="F1930" s="17" t="s">
        <v>84</v>
      </c>
      <c r="G1930" s="11" t="s">
        <v>1314</v>
      </c>
      <c r="H1930" s="11" t="s">
        <v>1315</v>
      </c>
      <c r="I1930" s="17" t="s">
        <v>296</v>
      </c>
      <c r="J1930" s="17">
        <v>16.779174999999999</v>
      </c>
      <c r="K1930" s="17">
        <v>-96.034935000000004</v>
      </c>
      <c r="L1930" s="17" t="str">
        <f>HYPERLINK("https://maps.google.com/?q=16.779175,-96.034935", "🔗 Ver Mapa")</f>
        <v>🔗 Ver Mapa</v>
      </c>
    </row>
    <row r="1931" spans="1:12" ht="43.5" x14ac:dyDescent="0.35">
      <c r="A1931" s="5" t="s">
        <v>4</v>
      </c>
      <c r="B1931" s="5" t="s">
        <v>17</v>
      </c>
      <c r="C1931" s="5" t="s">
        <v>1313</v>
      </c>
      <c r="D1931" s="8" t="s">
        <v>64</v>
      </c>
      <c r="E1931" s="16" t="s">
        <v>75</v>
      </c>
      <c r="F1931" s="16" t="s">
        <v>84</v>
      </c>
      <c r="G1931" s="8" t="s">
        <v>1314</v>
      </c>
      <c r="H1931" s="8" t="s">
        <v>1315</v>
      </c>
      <c r="I1931" s="16" t="s">
        <v>296</v>
      </c>
      <c r="J1931" s="16">
        <v>16.779212999999999</v>
      </c>
      <c r="K1931" s="16">
        <v>-96.034430999999998</v>
      </c>
      <c r="L1931" s="16" t="str">
        <f>HYPERLINK("https://maps.google.com/?q=16.779213,-96.034431", "🔗 Ver Mapa")</f>
        <v>🔗 Ver Mapa</v>
      </c>
    </row>
    <row r="1932" spans="1:12" ht="43.5" x14ac:dyDescent="0.35">
      <c r="A1932" s="6" t="s">
        <v>4</v>
      </c>
      <c r="B1932" s="6" t="s">
        <v>17</v>
      </c>
      <c r="C1932" s="6" t="s">
        <v>1313</v>
      </c>
      <c r="D1932" s="11" t="s">
        <v>64</v>
      </c>
      <c r="E1932" s="17" t="s">
        <v>75</v>
      </c>
      <c r="F1932" s="17" t="s">
        <v>84</v>
      </c>
      <c r="G1932" s="11" t="s">
        <v>1314</v>
      </c>
      <c r="H1932" s="11" t="s">
        <v>1315</v>
      </c>
      <c r="I1932" s="17" t="s">
        <v>296</v>
      </c>
      <c r="J1932" s="17">
        <v>16.779216000000002</v>
      </c>
      <c r="K1932" s="17">
        <v>-96.033848000000006</v>
      </c>
      <c r="L1932" s="17" t="str">
        <f>HYPERLINK("https://maps.google.com/?q=16.779216,-96.033848", "🔗 Ver Mapa")</f>
        <v>🔗 Ver Mapa</v>
      </c>
    </row>
    <row r="1933" spans="1:12" ht="43.5" x14ac:dyDescent="0.35">
      <c r="A1933" s="5" t="s">
        <v>4</v>
      </c>
      <c r="B1933" s="5" t="s">
        <v>17</v>
      </c>
      <c r="C1933" s="5" t="s">
        <v>1313</v>
      </c>
      <c r="D1933" s="8" t="s">
        <v>64</v>
      </c>
      <c r="E1933" s="16" t="s">
        <v>75</v>
      </c>
      <c r="F1933" s="16" t="s">
        <v>84</v>
      </c>
      <c r="G1933" s="8" t="s">
        <v>1314</v>
      </c>
      <c r="H1933" s="8" t="s">
        <v>1315</v>
      </c>
      <c r="I1933" s="16" t="s">
        <v>296</v>
      </c>
      <c r="J1933" s="16">
        <v>16.779249</v>
      </c>
      <c r="K1933" s="16">
        <v>-96.038138000000004</v>
      </c>
      <c r="L1933" s="16" t="str">
        <f>HYPERLINK("https://maps.google.com/?q=16.779249,-96.038138", "🔗 Ver Mapa")</f>
        <v>🔗 Ver Mapa</v>
      </c>
    </row>
    <row r="1934" spans="1:12" ht="43.5" x14ac:dyDescent="0.35">
      <c r="A1934" s="6" t="s">
        <v>4</v>
      </c>
      <c r="B1934" s="6" t="s">
        <v>17</v>
      </c>
      <c r="C1934" s="6" t="s">
        <v>1313</v>
      </c>
      <c r="D1934" s="11" t="s">
        <v>64</v>
      </c>
      <c r="E1934" s="17" t="s">
        <v>75</v>
      </c>
      <c r="F1934" s="17" t="s">
        <v>84</v>
      </c>
      <c r="G1934" s="11" t="s">
        <v>1314</v>
      </c>
      <c r="H1934" s="11" t="s">
        <v>1315</v>
      </c>
      <c r="I1934" s="17" t="s">
        <v>296</v>
      </c>
      <c r="J1934" s="17">
        <v>16.779254999999999</v>
      </c>
      <c r="K1934" s="17">
        <v>-96.034115999999997</v>
      </c>
      <c r="L1934" s="17" t="str">
        <f>HYPERLINK("https://maps.google.com/?q=16.779255,-96.034116", "🔗 Ver Mapa")</f>
        <v>🔗 Ver Mapa</v>
      </c>
    </row>
    <row r="1935" spans="1:12" ht="43.5" x14ac:dyDescent="0.35">
      <c r="A1935" s="5" t="s">
        <v>4</v>
      </c>
      <c r="B1935" s="5" t="s">
        <v>17</v>
      </c>
      <c r="C1935" s="5" t="s">
        <v>1313</v>
      </c>
      <c r="D1935" s="8" t="s">
        <v>64</v>
      </c>
      <c r="E1935" s="16" t="s">
        <v>75</v>
      </c>
      <c r="F1935" s="16" t="s">
        <v>84</v>
      </c>
      <c r="G1935" s="8" t="s">
        <v>1314</v>
      </c>
      <c r="H1935" s="8" t="s">
        <v>1315</v>
      </c>
      <c r="I1935" s="16" t="s">
        <v>296</v>
      </c>
      <c r="J1935" s="16">
        <v>16.779298000000001</v>
      </c>
      <c r="K1935" s="16">
        <v>-96.033444000000003</v>
      </c>
      <c r="L1935" s="16" t="str">
        <f>HYPERLINK("https://maps.google.com/?q=16.779298,-96.033444", "🔗 Ver Mapa")</f>
        <v>🔗 Ver Mapa</v>
      </c>
    </row>
    <row r="1936" spans="1:12" ht="43.5" x14ac:dyDescent="0.35">
      <c r="A1936" s="6" t="s">
        <v>4</v>
      </c>
      <c r="B1936" s="6" t="s">
        <v>17</v>
      </c>
      <c r="C1936" s="6" t="s">
        <v>1313</v>
      </c>
      <c r="D1936" s="11" t="s">
        <v>64</v>
      </c>
      <c r="E1936" s="17" t="s">
        <v>75</v>
      </c>
      <c r="F1936" s="17" t="s">
        <v>84</v>
      </c>
      <c r="G1936" s="11" t="s">
        <v>1314</v>
      </c>
      <c r="H1936" s="11" t="s">
        <v>1315</v>
      </c>
      <c r="I1936" s="17" t="s">
        <v>296</v>
      </c>
      <c r="J1936" s="17">
        <v>16.779312000000001</v>
      </c>
      <c r="K1936" s="17">
        <v>-96.033451999999997</v>
      </c>
      <c r="L1936" s="17" t="str">
        <f>HYPERLINK("https://maps.google.com/?q=16.779312,-96.033452", "🔗 Ver Mapa")</f>
        <v>🔗 Ver Mapa</v>
      </c>
    </row>
    <row r="1937" spans="1:12" ht="43.5" x14ac:dyDescent="0.35">
      <c r="A1937" s="5" t="s">
        <v>4</v>
      </c>
      <c r="B1937" s="5" t="s">
        <v>17</v>
      </c>
      <c r="C1937" s="5" t="s">
        <v>1313</v>
      </c>
      <c r="D1937" s="8" t="s">
        <v>64</v>
      </c>
      <c r="E1937" s="16" t="s">
        <v>75</v>
      </c>
      <c r="F1937" s="16" t="s">
        <v>84</v>
      </c>
      <c r="G1937" s="8" t="s">
        <v>1314</v>
      </c>
      <c r="H1937" s="8" t="s">
        <v>1315</v>
      </c>
      <c r="I1937" s="16" t="s">
        <v>296</v>
      </c>
      <c r="J1937" s="16">
        <v>16.779343000000001</v>
      </c>
      <c r="K1937" s="16">
        <v>-96.038067999999996</v>
      </c>
      <c r="L1937" s="16" t="str">
        <f>HYPERLINK("https://maps.google.com/?q=16.779343,-96.038068", "🔗 Ver Mapa")</f>
        <v>🔗 Ver Mapa</v>
      </c>
    </row>
    <row r="1938" spans="1:12" ht="43.5" x14ac:dyDescent="0.35">
      <c r="A1938" s="6" t="s">
        <v>4</v>
      </c>
      <c r="B1938" s="6" t="s">
        <v>17</v>
      </c>
      <c r="C1938" s="6" t="s">
        <v>1313</v>
      </c>
      <c r="D1938" s="11" t="s">
        <v>64</v>
      </c>
      <c r="E1938" s="17" t="s">
        <v>75</v>
      </c>
      <c r="F1938" s="17" t="s">
        <v>84</v>
      </c>
      <c r="G1938" s="11" t="s">
        <v>1314</v>
      </c>
      <c r="H1938" s="11" t="s">
        <v>1315</v>
      </c>
      <c r="I1938" s="17" t="s">
        <v>296</v>
      </c>
      <c r="J1938" s="17">
        <v>16.779485000000001</v>
      </c>
      <c r="K1938" s="17">
        <v>-96.033158999999998</v>
      </c>
      <c r="L1938" s="17" t="str">
        <f>HYPERLINK("https://maps.google.com/?q=16.779485,-96.033159", "🔗 Ver Mapa")</f>
        <v>🔗 Ver Mapa</v>
      </c>
    </row>
    <row r="1939" spans="1:12" ht="43.5" x14ac:dyDescent="0.35">
      <c r="A1939" s="5" t="s">
        <v>4</v>
      </c>
      <c r="B1939" s="5" t="s">
        <v>17</v>
      </c>
      <c r="C1939" s="5" t="s">
        <v>1313</v>
      </c>
      <c r="D1939" s="8" t="s">
        <v>64</v>
      </c>
      <c r="E1939" s="16" t="s">
        <v>75</v>
      </c>
      <c r="F1939" s="16" t="s">
        <v>84</v>
      </c>
      <c r="G1939" s="8" t="s">
        <v>1314</v>
      </c>
      <c r="H1939" s="8" t="s">
        <v>1315</v>
      </c>
      <c r="I1939" s="16" t="s">
        <v>296</v>
      </c>
      <c r="J1939" s="16">
        <v>16.779499000000001</v>
      </c>
      <c r="K1939" s="16">
        <v>-96.033168000000003</v>
      </c>
      <c r="L1939" s="16" t="str">
        <f>HYPERLINK("https://maps.google.com/?q=16.779499,-96.033168", "🔗 Ver Mapa")</f>
        <v>🔗 Ver Mapa</v>
      </c>
    </row>
    <row r="1940" spans="1:12" ht="43.5" x14ac:dyDescent="0.35">
      <c r="A1940" s="6" t="s">
        <v>4</v>
      </c>
      <c r="B1940" s="6" t="s">
        <v>17</v>
      </c>
      <c r="C1940" s="6" t="s">
        <v>1313</v>
      </c>
      <c r="D1940" s="11" t="s">
        <v>64</v>
      </c>
      <c r="E1940" s="17" t="s">
        <v>75</v>
      </c>
      <c r="F1940" s="17" t="s">
        <v>84</v>
      </c>
      <c r="G1940" s="11" t="s">
        <v>1314</v>
      </c>
      <c r="H1940" s="11" t="s">
        <v>1315</v>
      </c>
      <c r="I1940" s="17" t="s">
        <v>296</v>
      </c>
      <c r="J1940" s="17">
        <v>16.779557</v>
      </c>
      <c r="K1940" s="17">
        <v>-96.037516999999994</v>
      </c>
      <c r="L1940" s="17" t="str">
        <f>HYPERLINK("https://maps.google.com/?q=16.779557,-96.037517", "🔗 Ver Mapa")</f>
        <v>🔗 Ver Mapa</v>
      </c>
    </row>
    <row r="1941" spans="1:12" ht="43.5" x14ac:dyDescent="0.35">
      <c r="A1941" s="5" t="s">
        <v>4</v>
      </c>
      <c r="B1941" s="5" t="s">
        <v>17</v>
      </c>
      <c r="C1941" s="5" t="s">
        <v>1313</v>
      </c>
      <c r="D1941" s="8" t="s">
        <v>64</v>
      </c>
      <c r="E1941" s="16" t="s">
        <v>75</v>
      </c>
      <c r="F1941" s="16" t="s">
        <v>84</v>
      </c>
      <c r="G1941" s="8" t="s">
        <v>1314</v>
      </c>
      <c r="H1941" s="8" t="s">
        <v>1315</v>
      </c>
      <c r="I1941" s="16" t="s">
        <v>296</v>
      </c>
      <c r="J1941" s="16">
        <v>16.779689999999999</v>
      </c>
      <c r="K1941" s="16">
        <v>-96.037318999999997</v>
      </c>
      <c r="L1941" s="16" t="str">
        <f>HYPERLINK("https://maps.google.com/?q=16.77969,-96.037319", "🔗 Ver Mapa")</f>
        <v>🔗 Ver Mapa</v>
      </c>
    </row>
    <row r="1942" spans="1:12" ht="43.5" x14ac:dyDescent="0.35">
      <c r="A1942" s="6" t="s">
        <v>4</v>
      </c>
      <c r="B1942" s="6" t="s">
        <v>17</v>
      </c>
      <c r="C1942" s="6" t="s">
        <v>1313</v>
      </c>
      <c r="D1942" s="11" t="s">
        <v>64</v>
      </c>
      <c r="E1942" s="17" t="s">
        <v>75</v>
      </c>
      <c r="F1942" s="17" t="s">
        <v>84</v>
      </c>
      <c r="G1942" s="11" t="s">
        <v>1314</v>
      </c>
      <c r="H1942" s="11" t="s">
        <v>1315</v>
      </c>
      <c r="I1942" s="17" t="s">
        <v>296</v>
      </c>
      <c r="J1942" s="17">
        <v>16.779719</v>
      </c>
      <c r="K1942" s="17">
        <v>-96.032942000000006</v>
      </c>
      <c r="L1942" s="17" t="str">
        <f>HYPERLINK("https://maps.google.com/?q=16.779719,-96.032942", "🔗 Ver Mapa")</f>
        <v>🔗 Ver Mapa</v>
      </c>
    </row>
    <row r="1943" spans="1:12" ht="43.5" x14ac:dyDescent="0.35">
      <c r="A1943" s="5" t="s">
        <v>4</v>
      </c>
      <c r="B1943" s="5" t="s">
        <v>17</v>
      </c>
      <c r="C1943" s="5" t="s">
        <v>1313</v>
      </c>
      <c r="D1943" s="8" t="s">
        <v>64</v>
      </c>
      <c r="E1943" s="16" t="s">
        <v>75</v>
      </c>
      <c r="F1943" s="16" t="s">
        <v>84</v>
      </c>
      <c r="G1943" s="8" t="s">
        <v>1314</v>
      </c>
      <c r="H1943" s="8" t="s">
        <v>1315</v>
      </c>
      <c r="I1943" s="16" t="s">
        <v>296</v>
      </c>
      <c r="J1943" s="16">
        <v>16.779730000000001</v>
      </c>
      <c r="K1943" s="16">
        <v>-96.032961999999998</v>
      </c>
      <c r="L1943" s="16" t="str">
        <f>HYPERLINK("https://maps.google.com/?q=16.77973,-96.032962", "🔗 Ver Mapa")</f>
        <v>🔗 Ver Mapa</v>
      </c>
    </row>
    <row r="1944" spans="1:12" ht="43.5" x14ac:dyDescent="0.35">
      <c r="A1944" s="6" t="s">
        <v>4</v>
      </c>
      <c r="B1944" s="6" t="s">
        <v>17</v>
      </c>
      <c r="C1944" s="6" t="s">
        <v>1313</v>
      </c>
      <c r="D1944" s="11" t="s">
        <v>64</v>
      </c>
      <c r="E1944" s="17" t="s">
        <v>75</v>
      </c>
      <c r="F1944" s="17" t="s">
        <v>84</v>
      </c>
      <c r="G1944" s="11" t="s">
        <v>1314</v>
      </c>
      <c r="H1944" s="11" t="s">
        <v>1315</v>
      </c>
      <c r="I1944" s="17" t="s">
        <v>296</v>
      </c>
      <c r="J1944" s="17">
        <v>16.779876000000002</v>
      </c>
      <c r="K1944" s="17">
        <v>-96.037137000000001</v>
      </c>
      <c r="L1944" s="17" t="str">
        <f>HYPERLINK("https://maps.google.com/?q=16.779876,-96.037137", "🔗 Ver Mapa")</f>
        <v>🔗 Ver Mapa</v>
      </c>
    </row>
    <row r="1945" spans="1:12" ht="43.5" x14ac:dyDescent="0.35">
      <c r="A1945" s="5" t="s">
        <v>4</v>
      </c>
      <c r="B1945" s="5" t="s">
        <v>17</v>
      </c>
      <c r="C1945" s="5" t="s">
        <v>1313</v>
      </c>
      <c r="D1945" s="8" t="s">
        <v>64</v>
      </c>
      <c r="E1945" s="16" t="s">
        <v>75</v>
      </c>
      <c r="F1945" s="16" t="s">
        <v>84</v>
      </c>
      <c r="G1945" s="8" t="s">
        <v>1314</v>
      </c>
      <c r="H1945" s="8" t="s">
        <v>1315</v>
      </c>
      <c r="I1945" s="16" t="s">
        <v>296</v>
      </c>
      <c r="J1945" s="16">
        <v>16.779931000000001</v>
      </c>
      <c r="K1945" s="16">
        <v>-96.036454000000006</v>
      </c>
      <c r="L1945" s="16" t="str">
        <f>HYPERLINK("https://maps.google.com/?q=16.779931,-96.036454", "🔗 Ver Mapa")</f>
        <v>🔗 Ver Mapa</v>
      </c>
    </row>
    <row r="1946" spans="1:12" ht="43.5" x14ac:dyDescent="0.35">
      <c r="A1946" s="6" t="s">
        <v>4</v>
      </c>
      <c r="B1946" s="6" t="s">
        <v>17</v>
      </c>
      <c r="C1946" s="6" t="s">
        <v>1313</v>
      </c>
      <c r="D1946" s="11" t="s">
        <v>64</v>
      </c>
      <c r="E1946" s="17" t="s">
        <v>75</v>
      </c>
      <c r="F1946" s="17" t="s">
        <v>84</v>
      </c>
      <c r="G1946" s="11" t="s">
        <v>1314</v>
      </c>
      <c r="H1946" s="11" t="s">
        <v>1315</v>
      </c>
      <c r="I1946" s="17" t="s">
        <v>296</v>
      </c>
      <c r="J1946" s="17">
        <v>16.779983999999999</v>
      </c>
      <c r="K1946" s="17">
        <v>-96.036733999999996</v>
      </c>
      <c r="L1946" s="17" t="str">
        <f>HYPERLINK("https://maps.google.com/?q=16.779984,-96.036734", "🔗 Ver Mapa")</f>
        <v>🔗 Ver Mapa</v>
      </c>
    </row>
    <row r="1947" spans="1:12" ht="43.5" x14ac:dyDescent="0.35">
      <c r="A1947" s="5" t="s">
        <v>4</v>
      </c>
      <c r="B1947" s="5" t="s">
        <v>17</v>
      </c>
      <c r="C1947" s="5" t="s">
        <v>1313</v>
      </c>
      <c r="D1947" s="8" t="s">
        <v>64</v>
      </c>
      <c r="E1947" s="16" t="s">
        <v>75</v>
      </c>
      <c r="F1947" s="16" t="s">
        <v>84</v>
      </c>
      <c r="G1947" s="8" t="s">
        <v>1314</v>
      </c>
      <c r="H1947" s="8" t="s">
        <v>1315</v>
      </c>
      <c r="I1947" s="16" t="s">
        <v>296</v>
      </c>
      <c r="J1947" s="16">
        <v>16.779995</v>
      </c>
      <c r="K1947" s="16">
        <v>-96.036878999999999</v>
      </c>
      <c r="L1947" s="16" t="str">
        <f>HYPERLINK("https://maps.google.com/?q=16.779995,-96.036879", "🔗 Ver Mapa")</f>
        <v>🔗 Ver Mapa</v>
      </c>
    </row>
    <row r="1948" spans="1:12" ht="43.5" x14ac:dyDescent="0.35">
      <c r="A1948" s="6" t="s">
        <v>4</v>
      </c>
      <c r="B1948" s="6" t="s">
        <v>17</v>
      </c>
      <c r="C1948" s="6" t="s">
        <v>1313</v>
      </c>
      <c r="D1948" s="11" t="s">
        <v>64</v>
      </c>
      <c r="E1948" s="17" t="s">
        <v>75</v>
      </c>
      <c r="F1948" s="17" t="s">
        <v>84</v>
      </c>
      <c r="G1948" s="11" t="s">
        <v>1314</v>
      </c>
      <c r="H1948" s="11" t="s">
        <v>1315</v>
      </c>
      <c r="I1948" s="17" t="s">
        <v>296</v>
      </c>
      <c r="J1948" s="17">
        <v>16.780017000000001</v>
      </c>
      <c r="K1948" s="17">
        <v>-96.036210999999994</v>
      </c>
      <c r="L1948" s="17" t="str">
        <f>HYPERLINK("https://maps.google.com/?q=16.780017,-96.036211", "🔗 Ver Mapa")</f>
        <v>🔗 Ver Mapa</v>
      </c>
    </row>
    <row r="1949" spans="1:12" ht="43.5" x14ac:dyDescent="0.35">
      <c r="A1949" s="5" t="s">
        <v>4</v>
      </c>
      <c r="B1949" s="5" t="s">
        <v>17</v>
      </c>
      <c r="C1949" s="5" t="s">
        <v>1313</v>
      </c>
      <c r="D1949" s="8" t="s">
        <v>64</v>
      </c>
      <c r="E1949" s="16" t="s">
        <v>75</v>
      </c>
      <c r="F1949" s="16" t="s">
        <v>84</v>
      </c>
      <c r="G1949" s="8" t="s">
        <v>1314</v>
      </c>
      <c r="H1949" s="8" t="s">
        <v>1315</v>
      </c>
      <c r="I1949" s="16" t="s">
        <v>296</v>
      </c>
      <c r="J1949" s="16">
        <v>16.78002</v>
      </c>
      <c r="K1949" s="16">
        <v>-96.035769999999999</v>
      </c>
      <c r="L1949" s="16" t="str">
        <f>HYPERLINK("https://maps.google.com/?q=16.78002,-96.03577", "🔗 Ver Mapa")</f>
        <v>🔗 Ver Mapa</v>
      </c>
    </row>
    <row r="1950" spans="1:12" ht="43.5" x14ac:dyDescent="0.35">
      <c r="A1950" s="6" t="s">
        <v>4</v>
      </c>
      <c r="B1950" s="6" t="s">
        <v>17</v>
      </c>
      <c r="C1950" s="6" t="s">
        <v>1313</v>
      </c>
      <c r="D1950" s="11" t="s">
        <v>64</v>
      </c>
      <c r="E1950" s="17" t="s">
        <v>75</v>
      </c>
      <c r="F1950" s="17" t="s">
        <v>84</v>
      </c>
      <c r="G1950" s="11" t="s">
        <v>1314</v>
      </c>
      <c r="H1950" s="11" t="s">
        <v>1315</v>
      </c>
      <c r="I1950" s="17" t="s">
        <v>296</v>
      </c>
      <c r="J1950" s="17">
        <v>16.780045999999999</v>
      </c>
      <c r="K1950" s="17">
        <v>-96.035510000000002</v>
      </c>
      <c r="L1950" s="17" t="str">
        <f>HYPERLINK("https://maps.google.com/?q=16.780046,-96.03551", "🔗 Ver Mapa")</f>
        <v>🔗 Ver Mapa</v>
      </c>
    </row>
    <row r="1951" spans="1:12" ht="43.5" x14ac:dyDescent="0.35">
      <c r="A1951" s="5" t="s">
        <v>4</v>
      </c>
      <c r="B1951" s="5" t="s">
        <v>17</v>
      </c>
      <c r="C1951" s="5" t="s">
        <v>1313</v>
      </c>
      <c r="D1951" s="8" t="s">
        <v>64</v>
      </c>
      <c r="E1951" s="16" t="s">
        <v>75</v>
      </c>
      <c r="F1951" s="16" t="s">
        <v>84</v>
      </c>
      <c r="G1951" s="8" t="s">
        <v>1314</v>
      </c>
      <c r="H1951" s="8" t="s">
        <v>1315</v>
      </c>
      <c r="I1951" s="16" t="s">
        <v>296</v>
      </c>
      <c r="J1951" s="16">
        <v>16.780121000000001</v>
      </c>
      <c r="K1951" s="16">
        <v>-96.032773000000006</v>
      </c>
      <c r="L1951" s="16" t="str">
        <f>HYPERLINK("https://maps.google.com/?q=16.780121,-96.032773", "🔗 Ver Mapa")</f>
        <v>🔗 Ver Mapa</v>
      </c>
    </row>
    <row r="1952" spans="1:12" ht="43.5" x14ac:dyDescent="0.35">
      <c r="A1952" s="6" t="s">
        <v>4</v>
      </c>
      <c r="B1952" s="6" t="s">
        <v>17</v>
      </c>
      <c r="C1952" s="6" t="s">
        <v>1313</v>
      </c>
      <c r="D1952" s="11" t="s">
        <v>64</v>
      </c>
      <c r="E1952" s="17" t="s">
        <v>75</v>
      </c>
      <c r="F1952" s="17" t="s">
        <v>84</v>
      </c>
      <c r="G1952" s="11" t="s">
        <v>1314</v>
      </c>
      <c r="H1952" s="11" t="s">
        <v>1315</v>
      </c>
      <c r="I1952" s="17" t="s">
        <v>296</v>
      </c>
      <c r="J1952" s="17">
        <v>16.780165</v>
      </c>
      <c r="K1952" s="17">
        <v>-96.032715999999994</v>
      </c>
      <c r="L1952" s="17" t="str">
        <f>HYPERLINK("https://maps.google.com/?q=16.780165,-96.032716", "🔗 Ver Mapa")</f>
        <v>🔗 Ver Mapa</v>
      </c>
    </row>
    <row r="1953" spans="1:12" ht="43.5" x14ac:dyDescent="0.35">
      <c r="A1953" s="5" t="s">
        <v>4</v>
      </c>
      <c r="B1953" s="5" t="s">
        <v>17</v>
      </c>
      <c r="C1953" s="5" t="s">
        <v>1313</v>
      </c>
      <c r="D1953" s="8" t="s">
        <v>64</v>
      </c>
      <c r="E1953" s="16" t="s">
        <v>75</v>
      </c>
      <c r="F1953" s="16" t="s">
        <v>84</v>
      </c>
      <c r="G1953" s="8" t="s">
        <v>1314</v>
      </c>
      <c r="H1953" s="8" t="s">
        <v>1315</v>
      </c>
      <c r="I1953" s="16" t="s">
        <v>296</v>
      </c>
      <c r="J1953" s="16">
        <v>16.780225000000002</v>
      </c>
      <c r="K1953" s="16">
        <v>-96.035269999999997</v>
      </c>
      <c r="L1953" s="16" t="str">
        <f>HYPERLINK("https://maps.google.com/?q=16.780225,-96.03527", "🔗 Ver Mapa")</f>
        <v>🔗 Ver Mapa</v>
      </c>
    </row>
    <row r="1954" spans="1:12" ht="43.5" x14ac:dyDescent="0.35">
      <c r="A1954" s="6" t="s">
        <v>4</v>
      </c>
      <c r="B1954" s="6" t="s">
        <v>17</v>
      </c>
      <c r="C1954" s="6" t="s">
        <v>1313</v>
      </c>
      <c r="D1954" s="11" t="s">
        <v>64</v>
      </c>
      <c r="E1954" s="17" t="s">
        <v>75</v>
      </c>
      <c r="F1954" s="17" t="s">
        <v>84</v>
      </c>
      <c r="G1954" s="11" t="s">
        <v>1314</v>
      </c>
      <c r="H1954" s="11" t="s">
        <v>1315</v>
      </c>
      <c r="I1954" s="17" t="s">
        <v>296</v>
      </c>
      <c r="J1954" s="17">
        <v>16.780294999999999</v>
      </c>
      <c r="K1954" s="17">
        <v>-96.035090999999994</v>
      </c>
      <c r="L1954" s="17" t="str">
        <f>HYPERLINK("https://maps.google.com/?q=16.780295,-96.035091", "🔗 Ver Mapa")</f>
        <v>🔗 Ver Mapa</v>
      </c>
    </row>
    <row r="1955" spans="1:12" ht="43.5" x14ac:dyDescent="0.35">
      <c r="A1955" s="5" t="s">
        <v>4</v>
      </c>
      <c r="B1955" s="5" t="s">
        <v>17</v>
      </c>
      <c r="C1955" s="5" t="s">
        <v>1313</v>
      </c>
      <c r="D1955" s="8" t="s">
        <v>64</v>
      </c>
      <c r="E1955" s="16" t="s">
        <v>75</v>
      </c>
      <c r="F1955" s="16" t="s">
        <v>84</v>
      </c>
      <c r="G1955" s="8" t="s">
        <v>1314</v>
      </c>
      <c r="H1955" s="8" t="s">
        <v>1315</v>
      </c>
      <c r="I1955" s="16" t="s">
        <v>296</v>
      </c>
      <c r="J1955" s="16">
        <v>16.780331</v>
      </c>
      <c r="K1955" s="16">
        <v>-96.034862000000004</v>
      </c>
      <c r="L1955" s="16" t="str">
        <f>HYPERLINK("https://maps.google.com/?q=16.780331,-96.034862", "🔗 Ver Mapa")</f>
        <v>🔗 Ver Mapa</v>
      </c>
    </row>
    <row r="1956" spans="1:12" ht="43.5" x14ac:dyDescent="0.35">
      <c r="A1956" s="6" t="s">
        <v>4</v>
      </c>
      <c r="B1956" s="6" t="s">
        <v>17</v>
      </c>
      <c r="C1956" s="6" t="s">
        <v>1313</v>
      </c>
      <c r="D1956" s="11" t="s">
        <v>64</v>
      </c>
      <c r="E1956" s="17" t="s">
        <v>75</v>
      </c>
      <c r="F1956" s="17" t="s">
        <v>84</v>
      </c>
      <c r="G1956" s="11" t="s">
        <v>1314</v>
      </c>
      <c r="H1956" s="11" t="s">
        <v>1315</v>
      </c>
      <c r="I1956" s="17" t="s">
        <v>296</v>
      </c>
      <c r="J1956" s="17">
        <v>16.780377000000001</v>
      </c>
      <c r="K1956" s="17">
        <v>-96.032633000000004</v>
      </c>
      <c r="L1956" s="17" t="str">
        <f>HYPERLINK("https://maps.google.com/?q=16.780377,-96.032633", "🔗 Ver Mapa")</f>
        <v>🔗 Ver Mapa</v>
      </c>
    </row>
    <row r="1957" spans="1:12" ht="43.5" x14ac:dyDescent="0.35">
      <c r="A1957" s="5" t="s">
        <v>4</v>
      </c>
      <c r="B1957" s="5" t="s">
        <v>17</v>
      </c>
      <c r="C1957" s="5" t="s">
        <v>1313</v>
      </c>
      <c r="D1957" s="8" t="s">
        <v>64</v>
      </c>
      <c r="E1957" s="16" t="s">
        <v>75</v>
      </c>
      <c r="F1957" s="16" t="s">
        <v>84</v>
      </c>
      <c r="G1957" s="8" t="s">
        <v>1314</v>
      </c>
      <c r="H1957" s="8" t="s">
        <v>1315</v>
      </c>
      <c r="I1957" s="16" t="s">
        <v>296</v>
      </c>
      <c r="J1957" s="16">
        <v>16.780436999999999</v>
      </c>
      <c r="K1957" s="16">
        <v>-96.033974000000001</v>
      </c>
      <c r="L1957" s="16" t="str">
        <f>HYPERLINK("https://maps.google.com/?q=16.780437,-96.033974", "🔗 Ver Mapa")</f>
        <v>🔗 Ver Mapa</v>
      </c>
    </row>
    <row r="1958" spans="1:12" ht="43.5" x14ac:dyDescent="0.35">
      <c r="A1958" s="6" t="s">
        <v>4</v>
      </c>
      <c r="B1958" s="6" t="s">
        <v>17</v>
      </c>
      <c r="C1958" s="6" t="s">
        <v>1313</v>
      </c>
      <c r="D1958" s="11" t="s">
        <v>64</v>
      </c>
      <c r="E1958" s="17" t="s">
        <v>75</v>
      </c>
      <c r="F1958" s="17" t="s">
        <v>84</v>
      </c>
      <c r="G1958" s="11" t="s">
        <v>1314</v>
      </c>
      <c r="H1958" s="11" t="s">
        <v>1315</v>
      </c>
      <c r="I1958" s="17" t="s">
        <v>296</v>
      </c>
      <c r="J1958" s="17">
        <v>16.780479</v>
      </c>
      <c r="K1958" s="17">
        <v>-96.034183999999996</v>
      </c>
      <c r="L1958" s="17" t="str">
        <f>HYPERLINK("https://maps.google.com/?q=16.780479,-96.034184", "🔗 Ver Mapa")</f>
        <v>🔗 Ver Mapa</v>
      </c>
    </row>
    <row r="1959" spans="1:12" ht="43.5" x14ac:dyDescent="0.35">
      <c r="A1959" s="5" t="s">
        <v>4</v>
      </c>
      <c r="B1959" s="5" t="s">
        <v>17</v>
      </c>
      <c r="C1959" s="5" t="s">
        <v>1313</v>
      </c>
      <c r="D1959" s="8" t="s">
        <v>64</v>
      </c>
      <c r="E1959" s="16" t="s">
        <v>75</v>
      </c>
      <c r="F1959" s="16" t="s">
        <v>84</v>
      </c>
      <c r="G1959" s="8" t="s">
        <v>1314</v>
      </c>
      <c r="H1959" s="8" t="s">
        <v>1315</v>
      </c>
      <c r="I1959" s="16" t="s">
        <v>296</v>
      </c>
      <c r="J1959" s="16">
        <v>16.780494000000001</v>
      </c>
      <c r="K1959" s="16">
        <v>-96.034060999999994</v>
      </c>
      <c r="L1959" s="16" t="str">
        <f>HYPERLINK("https://maps.google.com/?q=16.780494,-96.034061", "🔗 Ver Mapa")</f>
        <v>🔗 Ver Mapa</v>
      </c>
    </row>
    <row r="1960" spans="1:12" ht="43.5" x14ac:dyDescent="0.35">
      <c r="A1960" s="6" t="s">
        <v>4</v>
      </c>
      <c r="B1960" s="6" t="s">
        <v>17</v>
      </c>
      <c r="C1960" s="6" t="s">
        <v>1313</v>
      </c>
      <c r="D1960" s="11" t="s">
        <v>64</v>
      </c>
      <c r="E1960" s="17" t="s">
        <v>75</v>
      </c>
      <c r="F1960" s="17" t="s">
        <v>84</v>
      </c>
      <c r="G1960" s="11" t="s">
        <v>1314</v>
      </c>
      <c r="H1960" s="11" t="s">
        <v>1315</v>
      </c>
      <c r="I1960" s="17" t="s">
        <v>296</v>
      </c>
      <c r="J1960" s="17">
        <v>16.780503</v>
      </c>
      <c r="K1960" s="17">
        <v>-96.034035000000003</v>
      </c>
      <c r="L1960" s="17" t="str">
        <f>HYPERLINK("https://maps.google.com/?q=16.780503,-96.034035", "🔗 Ver Mapa")</f>
        <v>🔗 Ver Mapa</v>
      </c>
    </row>
    <row r="1961" spans="1:12" ht="43.5" x14ac:dyDescent="0.35">
      <c r="A1961" s="5" t="s">
        <v>4</v>
      </c>
      <c r="B1961" s="5" t="s">
        <v>17</v>
      </c>
      <c r="C1961" s="5" t="s">
        <v>1313</v>
      </c>
      <c r="D1961" s="8" t="s">
        <v>64</v>
      </c>
      <c r="E1961" s="16" t="s">
        <v>75</v>
      </c>
      <c r="F1961" s="16" t="s">
        <v>84</v>
      </c>
      <c r="G1961" s="8" t="s">
        <v>1314</v>
      </c>
      <c r="H1961" s="8" t="s">
        <v>1315</v>
      </c>
      <c r="I1961" s="16" t="s">
        <v>296</v>
      </c>
      <c r="J1961" s="16">
        <v>16.780507</v>
      </c>
      <c r="K1961" s="16">
        <v>-96.033705999999995</v>
      </c>
      <c r="L1961" s="16" t="str">
        <f>HYPERLINK("https://maps.google.com/?q=16.780507,-96.033706", "🔗 Ver Mapa")</f>
        <v>🔗 Ver Mapa</v>
      </c>
    </row>
    <row r="1962" spans="1:12" ht="43.5" x14ac:dyDescent="0.35">
      <c r="A1962" s="6" t="s">
        <v>4</v>
      </c>
      <c r="B1962" s="6" t="s">
        <v>17</v>
      </c>
      <c r="C1962" s="6" t="s">
        <v>1313</v>
      </c>
      <c r="D1962" s="11" t="s">
        <v>64</v>
      </c>
      <c r="E1962" s="17" t="s">
        <v>75</v>
      </c>
      <c r="F1962" s="17" t="s">
        <v>84</v>
      </c>
      <c r="G1962" s="11" t="s">
        <v>1314</v>
      </c>
      <c r="H1962" s="11" t="s">
        <v>1315</v>
      </c>
      <c r="I1962" s="17" t="s">
        <v>296</v>
      </c>
      <c r="J1962" s="17">
        <v>16.780515000000001</v>
      </c>
      <c r="K1962" s="17">
        <v>-96.034505999999993</v>
      </c>
      <c r="L1962" s="17" t="str">
        <f>HYPERLINK("https://maps.google.com/?q=16.780515,-96.034506", "🔗 Ver Mapa")</f>
        <v>🔗 Ver Mapa</v>
      </c>
    </row>
    <row r="1963" spans="1:12" ht="43.5" x14ac:dyDescent="0.35">
      <c r="A1963" s="5" t="s">
        <v>4</v>
      </c>
      <c r="B1963" s="5" t="s">
        <v>17</v>
      </c>
      <c r="C1963" s="5" t="s">
        <v>1313</v>
      </c>
      <c r="D1963" s="8" t="s">
        <v>64</v>
      </c>
      <c r="E1963" s="16" t="s">
        <v>75</v>
      </c>
      <c r="F1963" s="16" t="s">
        <v>84</v>
      </c>
      <c r="G1963" s="8" t="s">
        <v>1314</v>
      </c>
      <c r="H1963" s="8" t="s">
        <v>1315</v>
      </c>
      <c r="I1963" s="16" t="s">
        <v>296</v>
      </c>
      <c r="J1963" s="16">
        <v>16.780521</v>
      </c>
      <c r="K1963" s="16">
        <v>-96.033979000000002</v>
      </c>
      <c r="L1963" s="16" t="str">
        <f>HYPERLINK("https://maps.google.com/?q=16.780521,-96.033979", "🔗 Ver Mapa")</f>
        <v>🔗 Ver Mapa</v>
      </c>
    </row>
    <row r="1964" spans="1:12" ht="43.5" x14ac:dyDescent="0.35">
      <c r="A1964" s="6" t="s">
        <v>4</v>
      </c>
      <c r="B1964" s="6" t="s">
        <v>17</v>
      </c>
      <c r="C1964" s="6" t="s">
        <v>1313</v>
      </c>
      <c r="D1964" s="11" t="s">
        <v>64</v>
      </c>
      <c r="E1964" s="17" t="s">
        <v>75</v>
      </c>
      <c r="F1964" s="17" t="s">
        <v>84</v>
      </c>
      <c r="G1964" s="11" t="s">
        <v>1314</v>
      </c>
      <c r="H1964" s="11" t="s">
        <v>1315</v>
      </c>
      <c r="I1964" s="17" t="s">
        <v>296</v>
      </c>
      <c r="J1964" s="17">
        <v>16.780524</v>
      </c>
      <c r="K1964" s="17">
        <v>-96.034394000000006</v>
      </c>
      <c r="L1964" s="17" t="str">
        <f>HYPERLINK("https://maps.google.com/?q=16.780524,-96.034394", "🔗 Ver Mapa")</f>
        <v>🔗 Ver Mapa</v>
      </c>
    </row>
    <row r="1965" spans="1:12" ht="43.5" x14ac:dyDescent="0.35">
      <c r="A1965" s="5" t="s">
        <v>4</v>
      </c>
      <c r="B1965" s="5" t="s">
        <v>17</v>
      </c>
      <c r="C1965" s="5" t="s">
        <v>1313</v>
      </c>
      <c r="D1965" s="8" t="s">
        <v>64</v>
      </c>
      <c r="E1965" s="16" t="s">
        <v>75</v>
      </c>
      <c r="F1965" s="16" t="s">
        <v>84</v>
      </c>
      <c r="G1965" s="8" t="s">
        <v>1314</v>
      </c>
      <c r="H1965" s="8" t="s">
        <v>1315</v>
      </c>
      <c r="I1965" s="16" t="s">
        <v>296</v>
      </c>
      <c r="J1965" s="16">
        <v>16.780539999999998</v>
      </c>
      <c r="K1965" s="16">
        <v>-96.032544999999999</v>
      </c>
      <c r="L1965" s="16" t="str">
        <f>HYPERLINK("https://maps.google.com/?q=16.78054,-96.032545", "🔗 Ver Mapa")</f>
        <v>🔗 Ver Mapa</v>
      </c>
    </row>
    <row r="1966" spans="1:12" ht="43.5" x14ac:dyDescent="0.35">
      <c r="A1966" s="6" t="s">
        <v>4</v>
      </c>
      <c r="B1966" s="6" t="s">
        <v>17</v>
      </c>
      <c r="C1966" s="6" t="s">
        <v>1313</v>
      </c>
      <c r="D1966" s="11" t="s">
        <v>64</v>
      </c>
      <c r="E1966" s="17" t="s">
        <v>75</v>
      </c>
      <c r="F1966" s="17" t="s">
        <v>84</v>
      </c>
      <c r="G1966" s="11" t="s">
        <v>1314</v>
      </c>
      <c r="H1966" s="11" t="s">
        <v>1315</v>
      </c>
      <c r="I1966" s="17" t="s">
        <v>296</v>
      </c>
      <c r="J1966" s="17">
        <v>16.780605999999999</v>
      </c>
      <c r="K1966" s="17">
        <v>-96.032465000000002</v>
      </c>
      <c r="L1966" s="17" t="str">
        <f>HYPERLINK("https://maps.google.com/?q=16.780606,-96.032465", "🔗 Ver Mapa")</f>
        <v>🔗 Ver Mapa</v>
      </c>
    </row>
    <row r="1967" spans="1:12" ht="43.5" x14ac:dyDescent="0.35">
      <c r="A1967" s="5" t="s">
        <v>4</v>
      </c>
      <c r="B1967" s="5" t="s">
        <v>17</v>
      </c>
      <c r="C1967" s="5" t="s">
        <v>1313</v>
      </c>
      <c r="D1967" s="8" t="s">
        <v>64</v>
      </c>
      <c r="E1967" s="16" t="s">
        <v>75</v>
      </c>
      <c r="F1967" s="16" t="s">
        <v>84</v>
      </c>
      <c r="G1967" s="8" t="s">
        <v>1314</v>
      </c>
      <c r="H1967" s="8" t="s">
        <v>1315</v>
      </c>
      <c r="I1967" s="16" t="s">
        <v>296</v>
      </c>
      <c r="J1967" s="16">
        <v>16.780670000000001</v>
      </c>
      <c r="K1967" s="16">
        <v>-96.034188</v>
      </c>
      <c r="L1967" s="16" t="str">
        <f>HYPERLINK("https://maps.google.com/?q=16.78067,-96.034188", "🔗 Ver Mapa")</f>
        <v>🔗 Ver Mapa</v>
      </c>
    </row>
    <row r="1968" spans="1:12" ht="43.5" x14ac:dyDescent="0.35">
      <c r="A1968" s="6" t="s">
        <v>4</v>
      </c>
      <c r="B1968" s="6" t="s">
        <v>17</v>
      </c>
      <c r="C1968" s="6" t="s">
        <v>1313</v>
      </c>
      <c r="D1968" s="11" t="s">
        <v>64</v>
      </c>
      <c r="E1968" s="17" t="s">
        <v>75</v>
      </c>
      <c r="F1968" s="17" t="s">
        <v>84</v>
      </c>
      <c r="G1968" s="11" t="s">
        <v>1314</v>
      </c>
      <c r="H1968" s="11" t="s">
        <v>1315</v>
      </c>
      <c r="I1968" s="17" t="s">
        <v>296</v>
      </c>
      <c r="J1968" s="17">
        <v>16.780712999999999</v>
      </c>
      <c r="K1968" s="17">
        <v>-96.033351999999994</v>
      </c>
      <c r="L1968" s="17" t="str">
        <f>HYPERLINK("https://maps.google.com/?q=16.780713,-96.033352", "🔗 Ver Mapa")</f>
        <v>🔗 Ver Mapa</v>
      </c>
    </row>
    <row r="1969" spans="1:12" ht="43.5" x14ac:dyDescent="0.35">
      <c r="A1969" s="5" t="s">
        <v>4</v>
      </c>
      <c r="B1969" s="5" t="s">
        <v>17</v>
      </c>
      <c r="C1969" s="5" t="s">
        <v>1313</v>
      </c>
      <c r="D1969" s="8" t="s">
        <v>64</v>
      </c>
      <c r="E1969" s="16" t="s">
        <v>75</v>
      </c>
      <c r="F1969" s="16" t="s">
        <v>84</v>
      </c>
      <c r="G1969" s="8" t="s">
        <v>1314</v>
      </c>
      <c r="H1969" s="8" t="s">
        <v>1315</v>
      </c>
      <c r="I1969" s="16" t="s">
        <v>296</v>
      </c>
      <c r="J1969" s="16">
        <v>16.780716000000002</v>
      </c>
      <c r="K1969" s="16">
        <v>-96.033855000000003</v>
      </c>
      <c r="L1969" s="16" t="str">
        <f>HYPERLINK("https://maps.google.com/?q=16.780716,-96.033855", "🔗 Ver Mapa")</f>
        <v>🔗 Ver Mapa</v>
      </c>
    </row>
    <row r="1970" spans="1:12" ht="43.5" x14ac:dyDescent="0.35">
      <c r="A1970" s="6" t="s">
        <v>4</v>
      </c>
      <c r="B1970" s="6" t="s">
        <v>17</v>
      </c>
      <c r="C1970" s="6" t="s">
        <v>1313</v>
      </c>
      <c r="D1970" s="11" t="s">
        <v>64</v>
      </c>
      <c r="E1970" s="17" t="s">
        <v>75</v>
      </c>
      <c r="F1970" s="17" t="s">
        <v>84</v>
      </c>
      <c r="G1970" s="11" t="s">
        <v>1314</v>
      </c>
      <c r="H1970" s="11" t="s">
        <v>1315</v>
      </c>
      <c r="I1970" s="17" t="s">
        <v>296</v>
      </c>
      <c r="J1970" s="17">
        <v>16.780809999999999</v>
      </c>
      <c r="K1970" s="17">
        <v>-96.032379000000006</v>
      </c>
      <c r="L1970" s="17" t="str">
        <f>HYPERLINK("https://maps.google.com/?q=16.78081,-96.032379", "🔗 Ver Mapa")</f>
        <v>🔗 Ver Mapa</v>
      </c>
    </row>
    <row r="1971" spans="1:12" ht="43.5" x14ac:dyDescent="0.35">
      <c r="A1971" s="5" t="s">
        <v>4</v>
      </c>
      <c r="B1971" s="5" t="s">
        <v>17</v>
      </c>
      <c r="C1971" s="5" t="s">
        <v>1313</v>
      </c>
      <c r="D1971" s="8" t="s">
        <v>64</v>
      </c>
      <c r="E1971" s="16" t="s">
        <v>75</v>
      </c>
      <c r="F1971" s="16" t="s">
        <v>84</v>
      </c>
      <c r="G1971" s="8" t="s">
        <v>1314</v>
      </c>
      <c r="H1971" s="8" t="s">
        <v>1315</v>
      </c>
      <c r="I1971" s="16" t="s">
        <v>296</v>
      </c>
      <c r="J1971" s="16">
        <v>16.780864999999999</v>
      </c>
      <c r="K1971" s="16">
        <v>-96.032364000000001</v>
      </c>
      <c r="L1971" s="16" t="str">
        <f>HYPERLINK("https://maps.google.com/?q=16.780865,-96.032364", "🔗 Ver Mapa")</f>
        <v>🔗 Ver Mapa</v>
      </c>
    </row>
    <row r="1972" spans="1:12" ht="43.5" x14ac:dyDescent="0.35">
      <c r="A1972" s="6" t="s">
        <v>4</v>
      </c>
      <c r="B1972" s="6" t="s">
        <v>17</v>
      </c>
      <c r="C1972" s="6" t="s">
        <v>1313</v>
      </c>
      <c r="D1972" s="11" t="s">
        <v>64</v>
      </c>
      <c r="E1972" s="17" t="s">
        <v>75</v>
      </c>
      <c r="F1972" s="17" t="s">
        <v>84</v>
      </c>
      <c r="G1972" s="11" t="s">
        <v>1314</v>
      </c>
      <c r="H1972" s="11" t="s">
        <v>1315</v>
      </c>
      <c r="I1972" s="17" t="s">
        <v>296</v>
      </c>
      <c r="J1972" s="17">
        <v>16.780866</v>
      </c>
      <c r="K1972" s="17">
        <v>-96.033749999999998</v>
      </c>
      <c r="L1972" s="17" t="str">
        <f>HYPERLINK("https://maps.google.com/?q=16.780866,-96.03375", "🔗 Ver Mapa")</f>
        <v>🔗 Ver Mapa</v>
      </c>
    </row>
    <row r="1973" spans="1:12" ht="43.5" x14ac:dyDescent="0.35">
      <c r="A1973" s="5" t="s">
        <v>4</v>
      </c>
      <c r="B1973" s="5" t="s">
        <v>17</v>
      </c>
      <c r="C1973" s="5" t="s">
        <v>1313</v>
      </c>
      <c r="D1973" s="8" t="s">
        <v>64</v>
      </c>
      <c r="E1973" s="16" t="s">
        <v>75</v>
      </c>
      <c r="F1973" s="16" t="s">
        <v>84</v>
      </c>
      <c r="G1973" s="8" t="s">
        <v>1314</v>
      </c>
      <c r="H1973" s="8" t="s">
        <v>1315</v>
      </c>
      <c r="I1973" s="16" t="s">
        <v>296</v>
      </c>
      <c r="J1973" s="16">
        <v>16.780875999999999</v>
      </c>
      <c r="K1973" s="16">
        <v>-96.032409000000001</v>
      </c>
      <c r="L1973" s="16" t="str">
        <f>HYPERLINK("https://maps.google.com/?q=16.780876,-96.032409", "🔗 Ver Mapa")</f>
        <v>🔗 Ver Mapa</v>
      </c>
    </row>
    <row r="1974" spans="1:12" ht="43.5" x14ac:dyDescent="0.35">
      <c r="A1974" s="6" t="s">
        <v>4</v>
      </c>
      <c r="B1974" s="6" t="s">
        <v>17</v>
      </c>
      <c r="C1974" s="6" t="s">
        <v>1313</v>
      </c>
      <c r="D1974" s="11" t="s">
        <v>64</v>
      </c>
      <c r="E1974" s="17" t="s">
        <v>75</v>
      </c>
      <c r="F1974" s="17" t="s">
        <v>84</v>
      </c>
      <c r="G1974" s="11" t="s">
        <v>1314</v>
      </c>
      <c r="H1974" s="11" t="s">
        <v>1315</v>
      </c>
      <c r="I1974" s="17" t="s">
        <v>296</v>
      </c>
      <c r="J1974" s="17">
        <v>16.780916999999999</v>
      </c>
      <c r="K1974" s="17">
        <v>-96.034305000000003</v>
      </c>
      <c r="L1974" s="17" t="str">
        <f>HYPERLINK("https://maps.google.com/?q=16.780917,-96.034305", "🔗 Ver Mapa")</f>
        <v>🔗 Ver Mapa</v>
      </c>
    </row>
    <row r="1975" spans="1:12" ht="43.5" x14ac:dyDescent="0.35">
      <c r="A1975" s="5" t="s">
        <v>4</v>
      </c>
      <c r="B1975" s="5" t="s">
        <v>17</v>
      </c>
      <c r="C1975" s="5" t="s">
        <v>1313</v>
      </c>
      <c r="D1975" s="8" t="s">
        <v>64</v>
      </c>
      <c r="E1975" s="16" t="s">
        <v>75</v>
      </c>
      <c r="F1975" s="16" t="s">
        <v>84</v>
      </c>
      <c r="G1975" s="8" t="s">
        <v>1314</v>
      </c>
      <c r="H1975" s="8" t="s">
        <v>1315</v>
      </c>
      <c r="I1975" s="16" t="s">
        <v>296</v>
      </c>
      <c r="J1975" s="16">
        <v>16.780926999999998</v>
      </c>
      <c r="K1975" s="16">
        <v>-96.032934999999995</v>
      </c>
      <c r="L1975" s="16" t="str">
        <f>HYPERLINK("https://maps.google.com/?q=16.780927,-96.032935", "🔗 Ver Mapa")</f>
        <v>🔗 Ver Mapa</v>
      </c>
    </row>
    <row r="1976" spans="1:12" ht="43.5" x14ac:dyDescent="0.35">
      <c r="A1976" s="6" t="s">
        <v>4</v>
      </c>
      <c r="B1976" s="6" t="s">
        <v>17</v>
      </c>
      <c r="C1976" s="6" t="s">
        <v>1313</v>
      </c>
      <c r="D1976" s="11" t="s">
        <v>64</v>
      </c>
      <c r="E1976" s="17" t="s">
        <v>75</v>
      </c>
      <c r="F1976" s="17" t="s">
        <v>84</v>
      </c>
      <c r="G1976" s="11" t="s">
        <v>1314</v>
      </c>
      <c r="H1976" s="11" t="s">
        <v>1315</v>
      </c>
      <c r="I1976" s="17" t="s">
        <v>296</v>
      </c>
      <c r="J1976" s="17">
        <v>16.78098</v>
      </c>
      <c r="K1976" s="17">
        <v>-96.032649000000006</v>
      </c>
      <c r="L1976" s="17" t="str">
        <f>HYPERLINK("https://maps.google.com/?q=16.78098,-96.032649", "🔗 Ver Mapa")</f>
        <v>🔗 Ver Mapa</v>
      </c>
    </row>
    <row r="1977" spans="1:12" ht="43.5" x14ac:dyDescent="0.35">
      <c r="A1977" s="5" t="s">
        <v>4</v>
      </c>
      <c r="B1977" s="5" t="s">
        <v>17</v>
      </c>
      <c r="C1977" s="5" t="s">
        <v>1313</v>
      </c>
      <c r="D1977" s="8" t="s">
        <v>64</v>
      </c>
      <c r="E1977" s="16" t="s">
        <v>75</v>
      </c>
      <c r="F1977" s="16" t="s">
        <v>84</v>
      </c>
      <c r="G1977" s="8" t="s">
        <v>1314</v>
      </c>
      <c r="H1977" s="8" t="s">
        <v>1315</v>
      </c>
      <c r="I1977" s="16" t="s">
        <v>296</v>
      </c>
      <c r="J1977" s="16">
        <v>16.781037000000001</v>
      </c>
      <c r="K1977" s="16">
        <v>-96.033631</v>
      </c>
      <c r="L1977" s="16" t="str">
        <f>HYPERLINK("https://maps.google.com/?q=16.781037,-96.033631", "🔗 Ver Mapa")</f>
        <v>🔗 Ver Mapa</v>
      </c>
    </row>
    <row r="1978" spans="1:12" ht="43.5" x14ac:dyDescent="0.35">
      <c r="A1978" s="6" t="s">
        <v>4</v>
      </c>
      <c r="B1978" s="6" t="s">
        <v>17</v>
      </c>
      <c r="C1978" s="6" t="s">
        <v>1313</v>
      </c>
      <c r="D1978" s="11" t="s">
        <v>64</v>
      </c>
      <c r="E1978" s="17" t="s">
        <v>75</v>
      </c>
      <c r="F1978" s="17" t="s">
        <v>84</v>
      </c>
      <c r="G1978" s="11" t="s">
        <v>1314</v>
      </c>
      <c r="H1978" s="11" t="s">
        <v>1315</v>
      </c>
      <c r="I1978" s="17" t="s">
        <v>296</v>
      </c>
      <c r="J1978" s="17">
        <v>16.781096000000002</v>
      </c>
      <c r="K1978" s="17">
        <v>-96.032347999999999</v>
      </c>
      <c r="L1978" s="17" t="str">
        <f>HYPERLINK("https://maps.google.com/?q=16.781096,-96.032348", "🔗 Ver Mapa")</f>
        <v>🔗 Ver Mapa</v>
      </c>
    </row>
    <row r="1979" spans="1:12" ht="43.5" x14ac:dyDescent="0.35">
      <c r="A1979" s="5" t="s">
        <v>4</v>
      </c>
      <c r="B1979" s="5" t="s">
        <v>17</v>
      </c>
      <c r="C1979" s="5" t="s">
        <v>1313</v>
      </c>
      <c r="D1979" s="8" t="s">
        <v>64</v>
      </c>
      <c r="E1979" s="16" t="s">
        <v>75</v>
      </c>
      <c r="F1979" s="16" t="s">
        <v>84</v>
      </c>
      <c r="G1979" s="8" t="s">
        <v>1314</v>
      </c>
      <c r="H1979" s="8" t="s">
        <v>1315</v>
      </c>
      <c r="I1979" s="16" t="s">
        <v>296</v>
      </c>
      <c r="J1979" s="16">
        <v>16.781164</v>
      </c>
      <c r="K1979" s="16">
        <v>-96.034422000000006</v>
      </c>
      <c r="L1979" s="16" t="str">
        <f>HYPERLINK("https://maps.google.com/?q=16.781164,-96.034422", "🔗 Ver Mapa")</f>
        <v>🔗 Ver Mapa</v>
      </c>
    </row>
    <row r="1980" spans="1:12" ht="43.5" x14ac:dyDescent="0.35">
      <c r="A1980" s="6" t="s">
        <v>4</v>
      </c>
      <c r="B1980" s="6" t="s">
        <v>17</v>
      </c>
      <c r="C1980" s="6" t="s">
        <v>1313</v>
      </c>
      <c r="D1980" s="11" t="s">
        <v>64</v>
      </c>
      <c r="E1980" s="17" t="s">
        <v>75</v>
      </c>
      <c r="F1980" s="17" t="s">
        <v>84</v>
      </c>
      <c r="G1980" s="11" t="s">
        <v>1314</v>
      </c>
      <c r="H1980" s="11" t="s">
        <v>1315</v>
      </c>
      <c r="I1980" s="17" t="s">
        <v>296</v>
      </c>
      <c r="J1980" s="17">
        <v>16.781175999999999</v>
      </c>
      <c r="K1980" s="17">
        <v>-96.033276999999998</v>
      </c>
      <c r="L1980" s="17" t="str">
        <f>HYPERLINK("https://maps.google.com/?q=16.781176,-96.033277", "🔗 Ver Mapa")</f>
        <v>🔗 Ver Mapa</v>
      </c>
    </row>
    <row r="1981" spans="1:12" ht="43.5" x14ac:dyDescent="0.35">
      <c r="A1981" s="5" t="s">
        <v>4</v>
      </c>
      <c r="B1981" s="5" t="s">
        <v>17</v>
      </c>
      <c r="C1981" s="5" t="s">
        <v>1313</v>
      </c>
      <c r="D1981" s="8" t="s">
        <v>64</v>
      </c>
      <c r="E1981" s="16" t="s">
        <v>75</v>
      </c>
      <c r="F1981" s="16" t="s">
        <v>84</v>
      </c>
      <c r="G1981" s="8" t="s">
        <v>1314</v>
      </c>
      <c r="H1981" s="8" t="s">
        <v>1315</v>
      </c>
      <c r="I1981" s="16" t="s">
        <v>296</v>
      </c>
      <c r="J1981" s="16">
        <v>16.781203000000001</v>
      </c>
      <c r="K1981" s="16">
        <v>-96.032711000000006</v>
      </c>
      <c r="L1981" s="16" t="str">
        <f>HYPERLINK("https://maps.google.com/?q=16.781203,-96.032711", "🔗 Ver Mapa")</f>
        <v>🔗 Ver Mapa</v>
      </c>
    </row>
    <row r="1982" spans="1:12" ht="43.5" x14ac:dyDescent="0.35">
      <c r="A1982" s="6" t="s">
        <v>4</v>
      </c>
      <c r="B1982" s="6" t="s">
        <v>17</v>
      </c>
      <c r="C1982" s="6" t="s">
        <v>1313</v>
      </c>
      <c r="D1982" s="11" t="s">
        <v>64</v>
      </c>
      <c r="E1982" s="17" t="s">
        <v>75</v>
      </c>
      <c r="F1982" s="17" t="s">
        <v>84</v>
      </c>
      <c r="G1982" s="11" t="s">
        <v>1314</v>
      </c>
      <c r="H1982" s="11" t="s">
        <v>1315</v>
      </c>
      <c r="I1982" s="17" t="s">
        <v>296</v>
      </c>
      <c r="J1982" s="17">
        <v>16.781241000000001</v>
      </c>
      <c r="K1982" s="17">
        <v>-96.032511</v>
      </c>
      <c r="L1982" s="17" t="str">
        <f>HYPERLINK("https://maps.google.com/?q=16.781241,-96.032511", "🔗 Ver Mapa")</f>
        <v>🔗 Ver Mapa</v>
      </c>
    </row>
    <row r="1983" spans="1:12" ht="43.5" x14ac:dyDescent="0.35">
      <c r="A1983" s="5" t="s">
        <v>4</v>
      </c>
      <c r="B1983" s="5" t="s">
        <v>17</v>
      </c>
      <c r="C1983" s="5" t="s">
        <v>1313</v>
      </c>
      <c r="D1983" s="8" t="s">
        <v>64</v>
      </c>
      <c r="E1983" s="16" t="s">
        <v>75</v>
      </c>
      <c r="F1983" s="16" t="s">
        <v>84</v>
      </c>
      <c r="G1983" s="8" t="s">
        <v>1314</v>
      </c>
      <c r="H1983" s="8" t="s">
        <v>1315</v>
      </c>
      <c r="I1983" s="16" t="s">
        <v>296</v>
      </c>
      <c r="J1983" s="16">
        <v>16.781253</v>
      </c>
      <c r="K1983" s="16">
        <v>-96.032290000000003</v>
      </c>
      <c r="L1983" s="16" t="str">
        <f>HYPERLINK("https://maps.google.com/?q=16.781253,-96.03229", "🔗 Ver Mapa")</f>
        <v>🔗 Ver Mapa</v>
      </c>
    </row>
    <row r="1984" spans="1:12" ht="43.5" x14ac:dyDescent="0.35">
      <c r="A1984" s="6" t="s">
        <v>4</v>
      </c>
      <c r="B1984" s="6" t="s">
        <v>17</v>
      </c>
      <c r="C1984" s="6" t="s">
        <v>1313</v>
      </c>
      <c r="D1984" s="11" t="s">
        <v>64</v>
      </c>
      <c r="E1984" s="17" t="s">
        <v>75</v>
      </c>
      <c r="F1984" s="17" t="s">
        <v>84</v>
      </c>
      <c r="G1984" s="11" t="s">
        <v>1314</v>
      </c>
      <c r="H1984" s="11" t="s">
        <v>1315</v>
      </c>
      <c r="I1984" s="17" t="s">
        <v>296</v>
      </c>
      <c r="J1984" s="17">
        <v>16.781296000000001</v>
      </c>
      <c r="K1984" s="17">
        <v>-96.033096</v>
      </c>
      <c r="L1984" s="17" t="str">
        <f>HYPERLINK("https://maps.google.com/?q=16.781296,-96.033096", "🔗 Ver Mapa")</f>
        <v>🔗 Ver Mapa</v>
      </c>
    </row>
    <row r="1985" spans="1:12" ht="43.5" x14ac:dyDescent="0.35">
      <c r="A1985" s="5" t="s">
        <v>4</v>
      </c>
      <c r="B1985" s="5" t="s">
        <v>17</v>
      </c>
      <c r="C1985" s="5" t="s">
        <v>1313</v>
      </c>
      <c r="D1985" s="8" t="s">
        <v>64</v>
      </c>
      <c r="E1985" s="16" t="s">
        <v>75</v>
      </c>
      <c r="F1985" s="16" t="s">
        <v>84</v>
      </c>
      <c r="G1985" s="8" t="s">
        <v>1314</v>
      </c>
      <c r="H1985" s="8" t="s">
        <v>1315</v>
      </c>
      <c r="I1985" s="16" t="s">
        <v>296</v>
      </c>
      <c r="J1985" s="16">
        <v>16.781296999999999</v>
      </c>
      <c r="K1985" s="16">
        <v>-96.033128000000005</v>
      </c>
      <c r="L1985" s="16" t="str">
        <f>HYPERLINK("https://maps.google.com/?q=16.781297,-96.033128", "🔗 Ver Mapa")</f>
        <v>🔗 Ver Mapa</v>
      </c>
    </row>
    <row r="1986" spans="1:12" ht="43.5" x14ac:dyDescent="0.35">
      <c r="A1986" s="6" t="s">
        <v>4</v>
      </c>
      <c r="B1986" s="6" t="s">
        <v>17</v>
      </c>
      <c r="C1986" s="6" t="s">
        <v>1313</v>
      </c>
      <c r="D1986" s="11" t="s">
        <v>64</v>
      </c>
      <c r="E1986" s="17" t="s">
        <v>75</v>
      </c>
      <c r="F1986" s="17" t="s">
        <v>84</v>
      </c>
      <c r="G1986" s="11" t="s">
        <v>1314</v>
      </c>
      <c r="H1986" s="11" t="s">
        <v>1315</v>
      </c>
      <c r="I1986" s="17" t="s">
        <v>296</v>
      </c>
      <c r="J1986" s="17">
        <v>16.781317000000001</v>
      </c>
      <c r="K1986" s="17">
        <v>-96.033118999999999</v>
      </c>
      <c r="L1986" s="17" t="str">
        <f>HYPERLINK("https://maps.google.com/?q=16.781317,-96.033119", "🔗 Ver Mapa")</f>
        <v>🔗 Ver Mapa</v>
      </c>
    </row>
    <row r="1987" spans="1:12" ht="43.5" x14ac:dyDescent="0.35">
      <c r="A1987" s="5" t="s">
        <v>4</v>
      </c>
      <c r="B1987" s="5" t="s">
        <v>17</v>
      </c>
      <c r="C1987" s="5" t="s">
        <v>1313</v>
      </c>
      <c r="D1987" s="8" t="s">
        <v>64</v>
      </c>
      <c r="E1987" s="16" t="s">
        <v>75</v>
      </c>
      <c r="F1987" s="16" t="s">
        <v>84</v>
      </c>
      <c r="G1987" s="8" t="s">
        <v>1314</v>
      </c>
      <c r="H1987" s="8" t="s">
        <v>1315</v>
      </c>
      <c r="I1987" s="16" t="s">
        <v>296</v>
      </c>
      <c r="J1987" s="16">
        <v>16.781374</v>
      </c>
      <c r="K1987" s="16">
        <v>-96.034439000000006</v>
      </c>
      <c r="L1987" s="16" t="str">
        <f>HYPERLINK("https://maps.google.com/?q=16.781374,-96.034439", "🔗 Ver Mapa")</f>
        <v>🔗 Ver Mapa</v>
      </c>
    </row>
    <row r="1988" spans="1:12" ht="43.5" x14ac:dyDescent="0.35">
      <c r="A1988" s="6" t="s">
        <v>4</v>
      </c>
      <c r="B1988" s="6" t="s">
        <v>17</v>
      </c>
      <c r="C1988" s="6" t="s">
        <v>1313</v>
      </c>
      <c r="D1988" s="11" t="s">
        <v>64</v>
      </c>
      <c r="E1988" s="17" t="s">
        <v>75</v>
      </c>
      <c r="F1988" s="17" t="s">
        <v>84</v>
      </c>
      <c r="G1988" s="11" t="s">
        <v>1314</v>
      </c>
      <c r="H1988" s="11" t="s">
        <v>1315</v>
      </c>
      <c r="I1988" s="17" t="s">
        <v>296</v>
      </c>
      <c r="J1988" s="17">
        <v>16.781427000000001</v>
      </c>
      <c r="K1988" s="17">
        <v>-96.032700000000006</v>
      </c>
      <c r="L1988" s="17" t="str">
        <f>HYPERLINK("https://maps.google.com/?q=16.781427,-96.0327", "🔗 Ver Mapa")</f>
        <v>🔗 Ver Mapa</v>
      </c>
    </row>
    <row r="1989" spans="1:12" ht="43.5" x14ac:dyDescent="0.35">
      <c r="A1989" s="5" t="s">
        <v>4</v>
      </c>
      <c r="B1989" s="5" t="s">
        <v>17</v>
      </c>
      <c r="C1989" s="5" t="s">
        <v>1313</v>
      </c>
      <c r="D1989" s="8" t="s">
        <v>64</v>
      </c>
      <c r="E1989" s="16" t="s">
        <v>75</v>
      </c>
      <c r="F1989" s="16" t="s">
        <v>84</v>
      </c>
      <c r="G1989" s="8" t="s">
        <v>1314</v>
      </c>
      <c r="H1989" s="8" t="s">
        <v>1315</v>
      </c>
      <c r="I1989" s="16" t="s">
        <v>296</v>
      </c>
      <c r="J1989" s="16">
        <v>16.781445000000001</v>
      </c>
      <c r="K1989" s="16">
        <v>-96.033018999999996</v>
      </c>
      <c r="L1989" s="16" t="str">
        <f>HYPERLINK("https://maps.google.com/?q=16.781445,-96.033019", "🔗 Ver Mapa")</f>
        <v>🔗 Ver Mapa</v>
      </c>
    </row>
    <row r="1990" spans="1:12" ht="43.5" x14ac:dyDescent="0.35">
      <c r="A1990" s="6" t="s">
        <v>4</v>
      </c>
      <c r="B1990" s="6" t="s">
        <v>17</v>
      </c>
      <c r="C1990" s="6" t="s">
        <v>1313</v>
      </c>
      <c r="D1990" s="11" t="s">
        <v>64</v>
      </c>
      <c r="E1990" s="17" t="s">
        <v>75</v>
      </c>
      <c r="F1990" s="17" t="s">
        <v>84</v>
      </c>
      <c r="G1990" s="11" t="s">
        <v>1314</v>
      </c>
      <c r="H1990" s="11" t="s">
        <v>1315</v>
      </c>
      <c r="I1990" s="17" t="s">
        <v>296</v>
      </c>
      <c r="J1990" s="17">
        <v>16.781476999999999</v>
      </c>
      <c r="K1990" s="17">
        <v>-96.032357000000005</v>
      </c>
      <c r="L1990" s="17" t="str">
        <f>HYPERLINK("https://maps.google.com/?q=16.781477,-96.032357", "🔗 Ver Mapa")</f>
        <v>🔗 Ver Mapa</v>
      </c>
    </row>
    <row r="1991" spans="1:12" ht="43.5" x14ac:dyDescent="0.35">
      <c r="A1991" s="5" t="s">
        <v>4</v>
      </c>
      <c r="B1991" s="5" t="s">
        <v>17</v>
      </c>
      <c r="C1991" s="5" t="s">
        <v>1313</v>
      </c>
      <c r="D1991" s="8" t="s">
        <v>64</v>
      </c>
      <c r="E1991" s="16" t="s">
        <v>75</v>
      </c>
      <c r="F1991" s="16" t="s">
        <v>84</v>
      </c>
      <c r="G1991" s="8" t="s">
        <v>1314</v>
      </c>
      <c r="H1991" s="8" t="s">
        <v>1315</v>
      </c>
      <c r="I1991" s="16" t="s">
        <v>296</v>
      </c>
      <c r="J1991" s="16">
        <v>16.781510000000001</v>
      </c>
      <c r="K1991" s="16">
        <v>-96.032470000000004</v>
      </c>
      <c r="L1991" s="16" t="str">
        <f>HYPERLINK("https://maps.google.com/?q=16.78151,-96.03247", "🔗 Ver Mapa")</f>
        <v>🔗 Ver Mapa</v>
      </c>
    </row>
    <row r="1992" spans="1:12" ht="43.5" x14ac:dyDescent="0.35">
      <c r="A1992" s="6" t="s">
        <v>4</v>
      </c>
      <c r="B1992" s="6" t="s">
        <v>17</v>
      </c>
      <c r="C1992" s="6" t="s">
        <v>1313</v>
      </c>
      <c r="D1992" s="11" t="s">
        <v>64</v>
      </c>
      <c r="E1992" s="17" t="s">
        <v>75</v>
      </c>
      <c r="F1992" s="17" t="s">
        <v>84</v>
      </c>
      <c r="G1992" s="11" t="s">
        <v>1314</v>
      </c>
      <c r="H1992" s="11" t="s">
        <v>1315</v>
      </c>
      <c r="I1992" s="17" t="s">
        <v>296</v>
      </c>
      <c r="J1992" s="17">
        <v>16.78152</v>
      </c>
      <c r="K1992" s="17">
        <v>-96.033097999999995</v>
      </c>
      <c r="L1992" s="17" t="str">
        <f>HYPERLINK("https://maps.google.com/?q=16.78152,-96.033098", "🔗 Ver Mapa")</f>
        <v>🔗 Ver Mapa</v>
      </c>
    </row>
    <row r="1993" spans="1:12" ht="43.5" x14ac:dyDescent="0.35">
      <c r="A1993" s="5" t="s">
        <v>4</v>
      </c>
      <c r="B1993" s="5" t="s">
        <v>17</v>
      </c>
      <c r="C1993" s="5" t="s">
        <v>1313</v>
      </c>
      <c r="D1993" s="8" t="s">
        <v>64</v>
      </c>
      <c r="E1993" s="16" t="s">
        <v>75</v>
      </c>
      <c r="F1993" s="16" t="s">
        <v>84</v>
      </c>
      <c r="G1993" s="8" t="s">
        <v>1314</v>
      </c>
      <c r="H1993" s="8" t="s">
        <v>1315</v>
      </c>
      <c r="I1993" s="16" t="s">
        <v>296</v>
      </c>
      <c r="J1993" s="16">
        <v>16.781525999999999</v>
      </c>
      <c r="K1993" s="16">
        <v>-96.033591999999999</v>
      </c>
      <c r="L1993" s="16" t="str">
        <f>HYPERLINK("https://maps.google.com/?q=16.781526,-96.033592", "🔗 Ver Mapa")</f>
        <v>🔗 Ver Mapa</v>
      </c>
    </row>
    <row r="1994" spans="1:12" ht="43.5" x14ac:dyDescent="0.35">
      <c r="A1994" s="6" t="s">
        <v>4</v>
      </c>
      <c r="B1994" s="6" t="s">
        <v>17</v>
      </c>
      <c r="C1994" s="6" t="s">
        <v>1313</v>
      </c>
      <c r="D1994" s="11" t="s">
        <v>64</v>
      </c>
      <c r="E1994" s="17" t="s">
        <v>75</v>
      </c>
      <c r="F1994" s="17" t="s">
        <v>84</v>
      </c>
      <c r="G1994" s="11" t="s">
        <v>1314</v>
      </c>
      <c r="H1994" s="11" t="s">
        <v>1315</v>
      </c>
      <c r="I1994" s="17" t="s">
        <v>296</v>
      </c>
      <c r="J1994" s="17">
        <v>16.781531999999999</v>
      </c>
      <c r="K1994" s="17">
        <v>-96.033860000000004</v>
      </c>
      <c r="L1994" s="17" t="str">
        <f>HYPERLINK("https://maps.google.com/?q=16.781532,-96.03386", "🔗 Ver Mapa")</f>
        <v>🔗 Ver Mapa</v>
      </c>
    </row>
    <row r="1995" spans="1:12" ht="43.5" x14ac:dyDescent="0.35">
      <c r="A1995" s="5" t="s">
        <v>4</v>
      </c>
      <c r="B1995" s="5" t="s">
        <v>17</v>
      </c>
      <c r="C1995" s="5" t="s">
        <v>1313</v>
      </c>
      <c r="D1995" s="8" t="s">
        <v>64</v>
      </c>
      <c r="E1995" s="16" t="s">
        <v>75</v>
      </c>
      <c r="F1995" s="16" t="s">
        <v>84</v>
      </c>
      <c r="G1995" s="8" t="s">
        <v>1314</v>
      </c>
      <c r="H1995" s="8" t="s">
        <v>1315</v>
      </c>
      <c r="I1995" s="16" t="s">
        <v>296</v>
      </c>
      <c r="J1995" s="16">
        <v>16.781552999999999</v>
      </c>
      <c r="K1995" s="16">
        <v>-96.034520999999998</v>
      </c>
      <c r="L1995" s="16" t="str">
        <f>HYPERLINK("https://maps.google.com/?q=16.781553,-96.034521", "🔗 Ver Mapa")</f>
        <v>🔗 Ver Mapa</v>
      </c>
    </row>
    <row r="1996" spans="1:12" ht="43.5" x14ac:dyDescent="0.35">
      <c r="A1996" s="6" t="s">
        <v>4</v>
      </c>
      <c r="B1996" s="6" t="s">
        <v>17</v>
      </c>
      <c r="C1996" s="6" t="s">
        <v>1313</v>
      </c>
      <c r="D1996" s="11" t="s">
        <v>64</v>
      </c>
      <c r="E1996" s="17" t="s">
        <v>75</v>
      </c>
      <c r="F1996" s="17" t="s">
        <v>84</v>
      </c>
      <c r="G1996" s="11" t="s">
        <v>1314</v>
      </c>
      <c r="H1996" s="11" t="s">
        <v>1315</v>
      </c>
      <c r="I1996" s="17" t="s">
        <v>296</v>
      </c>
      <c r="J1996" s="17">
        <v>16.781582</v>
      </c>
      <c r="K1996" s="17">
        <v>-96.032030000000006</v>
      </c>
      <c r="L1996" s="17" t="str">
        <f>HYPERLINK("https://maps.google.com/?q=16.781582,-96.03203", "🔗 Ver Mapa")</f>
        <v>🔗 Ver Mapa</v>
      </c>
    </row>
    <row r="1997" spans="1:12" ht="43.5" x14ac:dyDescent="0.35">
      <c r="A1997" s="5" t="s">
        <v>4</v>
      </c>
      <c r="B1997" s="5" t="s">
        <v>17</v>
      </c>
      <c r="C1997" s="5" t="s">
        <v>1313</v>
      </c>
      <c r="D1997" s="8" t="s">
        <v>64</v>
      </c>
      <c r="E1997" s="16" t="s">
        <v>75</v>
      </c>
      <c r="F1997" s="16" t="s">
        <v>84</v>
      </c>
      <c r="G1997" s="8" t="s">
        <v>1314</v>
      </c>
      <c r="H1997" s="8" t="s">
        <v>1315</v>
      </c>
      <c r="I1997" s="16" t="s">
        <v>296</v>
      </c>
      <c r="J1997" s="16">
        <v>16.781606</v>
      </c>
      <c r="K1997" s="16">
        <v>-96.033186000000001</v>
      </c>
      <c r="L1997" s="16" t="str">
        <f>HYPERLINK("https://maps.google.com/?q=16.781606,-96.033186", "🔗 Ver Mapa")</f>
        <v>🔗 Ver Mapa</v>
      </c>
    </row>
    <row r="1998" spans="1:12" ht="43.5" x14ac:dyDescent="0.35">
      <c r="A1998" s="6" t="s">
        <v>4</v>
      </c>
      <c r="B1998" s="6" t="s">
        <v>17</v>
      </c>
      <c r="C1998" s="6" t="s">
        <v>1313</v>
      </c>
      <c r="D1998" s="11" t="s">
        <v>64</v>
      </c>
      <c r="E1998" s="17" t="s">
        <v>75</v>
      </c>
      <c r="F1998" s="17" t="s">
        <v>84</v>
      </c>
      <c r="G1998" s="11" t="s">
        <v>1314</v>
      </c>
      <c r="H1998" s="11" t="s">
        <v>1315</v>
      </c>
      <c r="I1998" s="17" t="s">
        <v>296</v>
      </c>
      <c r="J1998" s="17">
        <v>16.781613</v>
      </c>
      <c r="K1998" s="17">
        <v>-96.032886000000005</v>
      </c>
      <c r="L1998" s="17" t="str">
        <f>HYPERLINK("https://maps.google.com/?q=16.781613,-96.032886", "🔗 Ver Mapa")</f>
        <v>🔗 Ver Mapa</v>
      </c>
    </row>
    <row r="1999" spans="1:12" ht="43.5" x14ac:dyDescent="0.35">
      <c r="A1999" s="5" t="s">
        <v>4</v>
      </c>
      <c r="B1999" s="5" t="s">
        <v>17</v>
      </c>
      <c r="C1999" s="5" t="s">
        <v>1313</v>
      </c>
      <c r="D1999" s="8" t="s">
        <v>64</v>
      </c>
      <c r="E1999" s="16" t="s">
        <v>75</v>
      </c>
      <c r="F1999" s="16" t="s">
        <v>84</v>
      </c>
      <c r="G1999" s="8" t="s">
        <v>1314</v>
      </c>
      <c r="H1999" s="8" t="s">
        <v>1315</v>
      </c>
      <c r="I1999" s="16" t="s">
        <v>296</v>
      </c>
      <c r="J1999" s="16">
        <v>16.781628999999999</v>
      </c>
      <c r="K1999" s="16">
        <v>-96.032161000000002</v>
      </c>
      <c r="L1999" s="16" t="str">
        <f>HYPERLINK("https://maps.google.com/?q=16.781629,-96.032161", "🔗 Ver Mapa")</f>
        <v>🔗 Ver Mapa</v>
      </c>
    </row>
    <row r="2000" spans="1:12" ht="43.5" x14ac:dyDescent="0.35">
      <c r="A2000" s="6" t="s">
        <v>4</v>
      </c>
      <c r="B2000" s="6" t="s">
        <v>17</v>
      </c>
      <c r="C2000" s="6" t="s">
        <v>1313</v>
      </c>
      <c r="D2000" s="11" t="s">
        <v>64</v>
      </c>
      <c r="E2000" s="17" t="s">
        <v>75</v>
      </c>
      <c r="F2000" s="17" t="s">
        <v>84</v>
      </c>
      <c r="G2000" s="11" t="s">
        <v>1314</v>
      </c>
      <c r="H2000" s="11" t="s">
        <v>1315</v>
      </c>
      <c r="I2000" s="17" t="s">
        <v>296</v>
      </c>
      <c r="J2000" s="17">
        <v>16.781663999999999</v>
      </c>
      <c r="K2000" s="17">
        <v>-96.034633999999997</v>
      </c>
      <c r="L2000" s="17" t="str">
        <f>HYPERLINK("https://maps.google.com/?q=16.781664,-96.034634", "🔗 Ver Mapa")</f>
        <v>🔗 Ver Mapa</v>
      </c>
    </row>
    <row r="2001" spans="1:12" ht="43.5" x14ac:dyDescent="0.35">
      <c r="A2001" s="5" t="s">
        <v>4</v>
      </c>
      <c r="B2001" s="5" t="s">
        <v>17</v>
      </c>
      <c r="C2001" s="5" t="s">
        <v>1313</v>
      </c>
      <c r="D2001" s="8" t="s">
        <v>64</v>
      </c>
      <c r="E2001" s="16" t="s">
        <v>75</v>
      </c>
      <c r="F2001" s="16" t="s">
        <v>84</v>
      </c>
      <c r="G2001" s="8" t="s">
        <v>1314</v>
      </c>
      <c r="H2001" s="8" t="s">
        <v>1315</v>
      </c>
      <c r="I2001" s="16" t="s">
        <v>296</v>
      </c>
      <c r="J2001" s="16">
        <v>16.781752000000001</v>
      </c>
      <c r="K2001" s="16">
        <v>-96.032769999999999</v>
      </c>
      <c r="L2001" s="16" t="str">
        <f>HYPERLINK("https://maps.google.com/?q=16.781752,-96.03277", "🔗 Ver Mapa")</f>
        <v>🔗 Ver Mapa</v>
      </c>
    </row>
    <row r="2002" spans="1:12" ht="43.5" x14ac:dyDescent="0.35">
      <c r="A2002" s="6" t="s">
        <v>4</v>
      </c>
      <c r="B2002" s="6" t="s">
        <v>17</v>
      </c>
      <c r="C2002" s="6" t="s">
        <v>1313</v>
      </c>
      <c r="D2002" s="11" t="s">
        <v>64</v>
      </c>
      <c r="E2002" s="17" t="s">
        <v>75</v>
      </c>
      <c r="F2002" s="17" t="s">
        <v>84</v>
      </c>
      <c r="G2002" s="11" t="s">
        <v>1314</v>
      </c>
      <c r="H2002" s="11" t="s">
        <v>1315</v>
      </c>
      <c r="I2002" s="17" t="s">
        <v>296</v>
      </c>
      <c r="J2002" s="17">
        <v>16.781787000000001</v>
      </c>
      <c r="K2002" s="17">
        <v>-96.034210000000002</v>
      </c>
      <c r="L2002" s="17" t="str">
        <f>HYPERLINK("https://maps.google.com/?q=16.781787,-96.03421", "🔗 Ver Mapa")</f>
        <v>🔗 Ver Mapa</v>
      </c>
    </row>
    <row r="2003" spans="1:12" ht="43.5" x14ac:dyDescent="0.35">
      <c r="A2003" s="5" t="s">
        <v>4</v>
      </c>
      <c r="B2003" s="5" t="s">
        <v>17</v>
      </c>
      <c r="C2003" s="5" t="s">
        <v>1313</v>
      </c>
      <c r="D2003" s="8" t="s">
        <v>64</v>
      </c>
      <c r="E2003" s="16" t="s">
        <v>75</v>
      </c>
      <c r="F2003" s="16" t="s">
        <v>84</v>
      </c>
      <c r="G2003" s="8" t="s">
        <v>1314</v>
      </c>
      <c r="H2003" s="8" t="s">
        <v>1315</v>
      </c>
      <c r="I2003" s="16" t="s">
        <v>296</v>
      </c>
      <c r="J2003" s="16">
        <v>16.781911000000001</v>
      </c>
      <c r="K2003" s="16">
        <v>-96.032056999999995</v>
      </c>
      <c r="L2003" s="16" t="str">
        <f>HYPERLINK("https://maps.google.com/?q=16.781911,-96.032057", "🔗 Ver Mapa")</f>
        <v>🔗 Ver Mapa</v>
      </c>
    </row>
    <row r="2004" spans="1:12" ht="43.5" x14ac:dyDescent="0.35">
      <c r="A2004" s="6" t="s">
        <v>4</v>
      </c>
      <c r="B2004" s="6" t="s">
        <v>17</v>
      </c>
      <c r="C2004" s="6" t="s">
        <v>1313</v>
      </c>
      <c r="D2004" s="11" t="s">
        <v>64</v>
      </c>
      <c r="E2004" s="17" t="s">
        <v>75</v>
      </c>
      <c r="F2004" s="17" t="s">
        <v>84</v>
      </c>
      <c r="G2004" s="11" t="s">
        <v>1314</v>
      </c>
      <c r="H2004" s="11" t="s">
        <v>1315</v>
      </c>
      <c r="I2004" s="17" t="s">
        <v>296</v>
      </c>
      <c r="J2004" s="17">
        <v>16.781972</v>
      </c>
      <c r="K2004" s="17">
        <v>-96.032577000000003</v>
      </c>
      <c r="L2004" s="17" t="str">
        <f>HYPERLINK("https://maps.google.com/?q=16.781972,-96.032577", "🔗 Ver Mapa")</f>
        <v>🔗 Ver Mapa</v>
      </c>
    </row>
    <row r="2005" spans="1:12" ht="43.5" x14ac:dyDescent="0.35">
      <c r="A2005" s="5" t="s">
        <v>4</v>
      </c>
      <c r="B2005" s="5" t="s">
        <v>17</v>
      </c>
      <c r="C2005" s="5" t="s">
        <v>1313</v>
      </c>
      <c r="D2005" s="8" t="s">
        <v>64</v>
      </c>
      <c r="E2005" s="16" t="s">
        <v>75</v>
      </c>
      <c r="F2005" s="16" t="s">
        <v>84</v>
      </c>
      <c r="G2005" s="8" t="s">
        <v>1314</v>
      </c>
      <c r="H2005" s="8" t="s">
        <v>1315</v>
      </c>
      <c r="I2005" s="16" t="s">
        <v>296</v>
      </c>
      <c r="J2005" s="16">
        <v>16.781980999999998</v>
      </c>
      <c r="K2005" s="16">
        <v>-96.032127000000003</v>
      </c>
      <c r="L2005" s="16" t="str">
        <f>HYPERLINK("https://maps.google.com/?q=16.781981,-96.032127", "🔗 Ver Mapa")</f>
        <v>🔗 Ver Mapa</v>
      </c>
    </row>
    <row r="2006" spans="1:12" ht="43.5" x14ac:dyDescent="0.35">
      <c r="A2006" s="6" t="s">
        <v>4</v>
      </c>
      <c r="B2006" s="6" t="s">
        <v>17</v>
      </c>
      <c r="C2006" s="6" t="s">
        <v>1313</v>
      </c>
      <c r="D2006" s="11" t="s">
        <v>64</v>
      </c>
      <c r="E2006" s="17" t="s">
        <v>75</v>
      </c>
      <c r="F2006" s="17" t="s">
        <v>84</v>
      </c>
      <c r="G2006" s="11" t="s">
        <v>1314</v>
      </c>
      <c r="H2006" s="11" t="s">
        <v>1315</v>
      </c>
      <c r="I2006" s="17" t="s">
        <v>296</v>
      </c>
      <c r="J2006" s="17">
        <v>16.781997</v>
      </c>
      <c r="K2006" s="17">
        <v>-96.034592000000004</v>
      </c>
      <c r="L2006" s="17" t="str">
        <f>HYPERLINK("https://maps.google.com/?q=16.781997,-96.034592", "🔗 Ver Mapa")</f>
        <v>🔗 Ver Mapa</v>
      </c>
    </row>
    <row r="2007" spans="1:12" ht="43.5" x14ac:dyDescent="0.35">
      <c r="A2007" s="5" t="s">
        <v>4</v>
      </c>
      <c r="B2007" s="5" t="s">
        <v>17</v>
      </c>
      <c r="C2007" s="5" t="s">
        <v>1313</v>
      </c>
      <c r="D2007" s="8" t="s">
        <v>64</v>
      </c>
      <c r="E2007" s="16" t="s">
        <v>75</v>
      </c>
      <c r="F2007" s="16" t="s">
        <v>84</v>
      </c>
      <c r="G2007" s="8" t="s">
        <v>1314</v>
      </c>
      <c r="H2007" s="8" t="s">
        <v>1315</v>
      </c>
      <c r="I2007" s="16" t="s">
        <v>296</v>
      </c>
      <c r="J2007" s="16">
        <v>16.782091000000001</v>
      </c>
      <c r="K2007" s="16">
        <v>-96.032133000000002</v>
      </c>
      <c r="L2007" s="16" t="str">
        <f>HYPERLINK("https://maps.google.com/?q=16.782091,-96.032133", "🔗 Ver Mapa")</f>
        <v>🔗 Ver Mapa</v>
      </c>
    </row>
    <row r="2008" spans="1:12" ht="43.5" x14ac:dyDescent="0.35">
      <c r="A2008" s="6" t="s">
        <v>4</v>
      </c>
      <c r="B2008" s="6" t="s">
        <v>17</v>
      </c>
      <c r="C2008" s="6" t="s">
        <v>1313</v>
      </c>
      <c r="D2008" s="11" t="s">
        <v>64</v>
      </c>
      <c r="E2008" s="17" t="s">
        <v>75</v>
      </c>
      <c r="F2008" s="17" t="s">
        <v>84</v>
      </c>
      <c r="G2008" s="11" t="s">
        <v>1314</v>
      </c>
      <c r="H2008" s="11" t="s">
        <v>1315</v>
      </c>
      <c r="I2008" s="17" t="s">
        <v>296</v>
      </c>
      <c r="J2008" s="17">
        <v>16.782091000000001</v>
      </c>
      <c r="K2008" s="17">
        <v>-96.032516999999999</v>
      </c>
      <c r="L2008" s="17" t="str">
        <f>HYPERLINK("https://maps.google.com/?q=16.782091,-96.032517", "🔗 Ver Mapa")</f>
        <v>🔗 Ver Mapa</v>
      </c>
    </row>
    <row r="2009" spans="1:12" ht="43.5" x14ac:dyDescent="0.35">
      <c r="A2009" s="5" t="s">
        <v>4</v>
      </c>
      <c r="B2009" s="5" t="s">
        <v>17</v>
      </c>
      <c r="C2009" s="5" t="s">
        <v>1313</v>
      </c>
      <c r="D2009" s="8" t="s">
        <v>64</v>
      </c>
      <c r="E2009" s="16" t="s">
        <v>75</v>
      </c>
      <c r="F2009" s="16" t="s">
        <v>84</v>
      </c>
      <c r="G2009" s="8" t="s">
        <v>1314</v>
      </c>
      <c r="H2009" s="8" t="s">
        <v>1315</v>
      </c>
      <c r="I2009" s="16" t="s">
        <v>296</v>
      </c>
      <c r="J2009" s="16">
        <v>16.782126000000002</v>
      </c>
      <c r="K2009" s="16">
        <v>-96.032218</v>
      </c>
      <c r="L2009" s="16" t="str">
        <f>HYPERLINK("https://maps.google.com/?q=16.782126,-96.032218", "🔗 Ver Mapa")</f>
        <v>🔗 Ver Mapa</v>
      </c>
    </row>
    <row r="2010" spans="1:12" ht="43.5" x14ac:dyDescent="0.35">
      <c r="A2010" s="6" t="s">
        <v>4</v>
      </c>
      <c r="B2010" s="6" t="s">
        <v>17</v>
      </c>
      <c r="C2010" s="6" t="s">
        <v>1313</v>
      </c>
      <c r="D2010" s="11" t="s">
        <v>64</v>
      </c>
      <c r="E2010" s="17" t="s">
        <v>75</v>
      </c>
      <c r="F2010" s="17" t="s">
        <v>84</v>
      </c>
      <c r="G2010" s="11" t="s">
        <v>1314</v>
      </c>
      <c r="H2010" s="11" t="s">
        <v>1315</v>
      </c>
      <c r="I2010" s="17" t="s">
        <v>296</v>
      </c>
      <c r="J2010" s="17">
        <v>16.782336999999998</v>
      </c>
      <c r="K2010" s="17">
        <v>-96.034757999999997</v>
      </c>
      <c r="L2010" s="17" t="str">
        <f>HYPERLINK("https://maps.google.com/?q=16.782337,-96.034758", "🔗 Ver Mapa")</f>
        <v>🔗 Ver Mapa</v>
      </c>
    </row>
    <row r="2011" spans="1:12" ht="43.5" x14ac:dyDescent="0.35">
      <c r="A2011" s="5" t="s">
        <v>4</v>
      </c>
      <c r="B2011" s="5" t="s">
        <v>17</v>
      </c>
      <c r="C2011" s="5" t="s">
        <v>1313</v>
      </c>
      <c r="D2011" s="8" t="s">
        <v>64</v>
      </c>
      <c r="E2011" s="16" t="s">
        <v>75</v>
      </c>
      <c r="F2011" s="16" t="s">
        <v>84</v>
      </c>
      <c r="G2011" s="8" t="s">
        <v>1314</v>
      </c>
      <c r="H2011" s="8" t="s">
        <v>1315</v>
      </c>
      <c r="I2011" s="16" t="s">
        <v>296</v>
      </c>
      <c r="J2011" s="16">
        <v>16.782397</v>
      </c>
      <c r="K2011" s="16">
        <v>-96.032283000000007</v>
      </c>
      <c r="L2011" s="16" t="str">
        <f>HYPERLINK("https://maps.google.com/?q=16.782397,-96.032283", "🔗 Ver Mapa")</f>
        <v>🔗 Ver Mapa</v>
      </c>
    </row>
    <row r="2012" spans="1:12" ht="43.5" x14ac:dyDescent="0.35">
      <c r="A2012" s="6" t="s">
        <v>4</v>
      </c>
      <c r="B2012" s="6" t="s">
        <v>17</v>
      </c>
      <c r="C2012" s="6" t="s">
        <v>1313</v>
      </c>
      <c r="D2012" s="11" t="s">
        <v>64</v>
      </c>
      <c r="E2012" s="17" t="s">
        <v>75</v>
      </c>
      <c r="F2012" s="17" t="s">
        <v>84</v>
      </c>
      <c r="G2012" s="11" t="s">
        <v>1314</v>
      </c>
      <c r="H2012" s="11" t="s">
        <v>1315</v>
      </c>
      <c r="I2012" s="17" t="s">
        <v>296</v>
      </c>
      <c r="J2012" s="17">
        <v>16.782464000000001</v>
      </c>
      <c r="K2012" s="17">
        <v>-96.032480000000007</v>
      </c>
      <c r="L2012" s="17" t="str">
        <f>HYPERLINK("https://maps.google.com/?q=16.782464,-96.03248", "🔗 Ver Mapa")</f>
        <v>🔗 Ver Mapa</v>
      </c>
    </row>
    <row r="2013" spans="1:12" ht="43.5" x14ac:dyDescent="0.35">
      <c r="A2013" s="5" t="s">
        <v>4</v>
      </c>
      <c r="B2013" s="5" t="s">
        <v>17</v>
      </c>
      <c r="C2013" s="5" t="s">
        <v>1313</v>
      </c>
      <c r="D2013" s="8" t="s">
        <v>64</v>
      </c>
      <c r="E2013" s="16" t="s">
        <v>75</v>
      </c>
      <c r="F2013" s="16" t="s">
        <v>84</v>
      </c>
      <c r="G2013" s="8" t="s">
        <v>1314</v>
      </c>
      <c r="H2013" s="8" t="s">
        <v>1315</v>
      </c>
      <c r="I2013" s="16" t="s">
        <v>296</v>
      </c>
      <c r="J2013" s="16">
        <v>16.782568999999999</v>
      </c>
      <c r="K2013" s="16">
        <v>-96.032342</v>
      </c>
      <c r="L2013" s="16" t="str">
        <f>HYPERLINK("https://maps.google.com/?q=16.782569,-96.032342", "🔗 Ver Mapa")</f>
        <v>🔗 Ver Mapa</v>
      </c>
    </row>
    <row r="2014" spans="1:12" ht="43.5" x14ac:dyDescent="0.35">
      <c r="A2014" s="6" t="s">
        <v>4</v>
      </c>
      <c r="B2014" s="6" t="s">
        <v>17</v>
      </c>
      <c r="C2014" s="6" t="s">
        <v>1313</v>
      </c>
      <c r="D2014" s="11" t="s">
        <v>64</v>
      </c>
      <c r="E2014" s="17" t="s">
        <v>75</v>
      </c>
      <c r="F2014" s="17" t="s">
        <v>84</v>
      </c>
      <c r="G2014" s="11" t="s">
        <v>1314</v>
      </c>
      <c r="H2014" s="11" t="s">
        <v>1315</v>
      </c>
      <c r="I2014" s="17" t="s">
        <v>296</v>
      </c>
      <c r="J2014" s="17">
        <v>16.782672999999999</v>
      </c>
      <c r="K2014" s="17">
        <v>-96.035062999999994</v>
      </c>
      <c r="L2014" s="17" t="str">
        <f>HYPERLINK("https://maps.google.com/?q=16.782673,-96.035063", "🔗 Ver Mapa")</f>
        <v>🔗 Ver Mapa</v>
      </c>
    </row>
    <row r="2015" spans="1:12" ht="43.5" x14ac:dyDescent="0.35">
      <c r="A2015" s="5" t="s">
        <v>4</v>
      </c>
      <c r="B2015" s="5" t="s">
        <v>17</v>
      </c>
      <c r="C2015" s="5" t="s">
        <v>1313</v>
      </c>
      <c r="D2015" s="8" t="s">
        <v>64</v>
      </c>
      <c r="E2015" s="16" t="s">
        <v>75</v>
      </c>
      <c r="F2015" s="16" t="s">
        <v>84</v>
      </c>
      <c r="G2015" s="8" t="s">
        <v>1314</v>
      </c>
      <c r="H2015" s="8" t="s">
        <v>1315</v>
      </c>
      <c r="I2015" s="16" t="s">
        <v>296</v>
      </c>
      <c r="J2015" s="16">
        <v>16.782696999999999</v>
      </c>
      <c r="K2015" s="16">
        <v>-96.032358000000002</v>
      </c>
      <c r="L2015" s="16" t="str">
        <f>HYPERLINK("https://maps.google.com/?q=16.782697,-96.032358", "🔗 Ver Mapa")</f>
        <v>🔗 Ver Mapa</v>
      </c>
    </row>
    <row r="2016" spans="1:12" ht="43.5" x14ac:dyDescent="0.35">
      <c r="A2016" s="6" t="s">
        <v>4</v>
      </c>
      <c r="B2016" s="6" t="s">
        <v>17</v>
      </c>
      <c r="C2016" s="6" t="s">
        <v>1313</v>
      </c>
      <c r="D2016" s="11" t="s">
        <v>64</v>
      </c>
      <c r="E2016" s="17" t="s">
        <v>75</v>
      </c>
      <c r="F2016" s="17" t="s">
        <v>84</v>
      </c>
      <c r="G2016" s="11" t="s">
        <v>1314</v>
      </c>
      <c r="H2016" s="11" t="s">
        <v>1315</v>
      </c>
      <c r="I2016" s="17" t="s">
        <v>296</v>
      </c>
      <c r="J2016" s="17">
        <v>16.782710999999999</v>
      </c>
      <c r="K2016" s="17">
        <v>-96.032490999999993</v>
      </c>
      <c r="L2016" s="17" t="str">
        <f>HYPERLINK("https://maps.google.com/?q=16.782711,-96.032491", "🔗 Ver Mapa")</f>
        <v>🔗 Ver Mapa</v>
      </c>
    </row>
    <row r="2017" spans="1:12" ht="43.5" x14ac:dyDescent="0.35">
      <c r="A2017" s="5" t="s">
        <v>4</v>
      </c>
      <c r="B2017" s="5" t="s">
        <v>17</v>
      </c>
      <c r="C2017" s="5" t="s">
        <v>1313</v>
      </c>
      <c r="D2017" s="8" t="s">
        <v>64</v>
      </c>
      <c r="E2017" s="16" t="s">
        <v>75</v>
      </c>
      <c r="F2017" s="16" t="s">
        <v>84</v>
      </c>
      <c r="G2017" s="8" t="s">
        <v>1314</v>
      </c>
      <c r="H2017" s="8" t="s">
        <v>1315</v>
      </c>
      <c r="I2017" s="16" t="s">
        <v>296</v>
      </c>
      <c r="J2017" s="16">
        <v>16.782755999999999</v>
      </c>
      <c r="K2017" s="16">
        <v>-96.034965</v>
      </c>
      <c r="L2017" s="16" t="str">
        <f>HYPERLINK("https://maps.google.com/?q=16.782756,-96.034965", "🔗 Ver Mapa")</f>
        <v>🔗 Ver Mapa</v>
      </c>
    </row>
    <row r="2018" spans="1:12" ht="43.5" x14ac:dyDescent="0.35">
      <c r="A2018" s="6" t="s">
        <v>4</v>
      </c>
      <c r="B2018" s="6" t="s">
        <v>17</v>
      </c>
      <c r="C2018" s="6" t="s">
        <v>1313</v>
      </c>
      <c r="D2018" s="11" t="s">
        <v>64</v>
      </c>
      <c r="E2018" s="17" t="s">
        <v>75</v>
      </c>
      <c r="F2018" s="17" t="s">
        <v>84</v>
      </c>
      <c r="G2018" s="11" t="s">
        <v>1314</v>
      </c>
      <c r="H2018" s="11" t="s">
        <v>1315</v>
      </c>
      <c r="I2018" s="17" t="s">
        <v>296</v>
      </c>
      <c r="J2018" s="17">
        <v>16.782805</v>
      </c>
      <c r="K2018" s="17">
        <v>-96.035003000000003</v>
      </c>
      <c r="L2018" s="17" t="str">
        <f>HYPERLINK("https://maps.google.com/?q=16.782805,-96.035003", "🔗 Ver Mapa")</f>
        <v>🔗 Ver Mapa</v>
      </c>
    </row>
    <row r="2019" spans="1:12" ht="43.5" x14ac:dyDescent="0.35">
      <c r="A2019" s="5" t="s">
        <v>4</v>
      </c>
      <c r="B2019" s="5" t="s">
        <v>17</v>
      </c>
      <c r="C2019" s="5" t="s">
        <v>1313</v>
      </c>
      <c r="D2019" s="8" t="s">
        <v>64</v>
      </c>
      <c r="E2019" s="16" t="s">
        <v>75</v>
      </c>
      <c r="F2019" s="16" t="s">
        <v>84</v>
      </c>
      <c r="G2019" s="8" t="s">
        <v>1314</v>
      </c>
      <c r="H2019" s="8" t="s">
        <v>1315</v>
      </c>
      <c r="I2019" s="16" t="s">
        <v>296</v>
      </c>
      <c r="J2019" s="16">
        <v>16.782824000000002</v>
      </c>
      <c r="K2019" s="16">
        <v>-96.032373000000007</v>
      </c>
      <c r="L2019" s="16" t="str">
        <f>HYPERLINK("https://maps.google.com/?q=16.782824,-96.032373", "🔗 Ver Mapa")</f>
        <v>🔗 Ver Mapa</v>
      </c>
    </row>
    <row r="2020" spans="1:12" ht="43.5" x14ac:dyDescent="0.35">
      <c r="A2020" s="6" t="s">
        <v>4</v>
      </c>
      <c r="B2020" s="6" t="s">
        <v>17</v>
      </c>
      <c r="C2020" s="6" t="s">
        <v>1313</v>
      </c>
      <c r="D2020" s="11" t="s">
        <v>64</v>
      </c>
      <c r="E2020" s="17" t="s">
        <v>75</v>
      </c>
      <c r="F2020" s="17" t="s">
        <v>84</v>
      </c>
      <c r="G2020" s="11" t="s">
        <v>1314</v>
      </c>
      <c r="H2020" s="11" t="s">
        <v>1315</v>
      </c>
      <c r="I2020" s="17" t="s">
        <v>296</v>
      </c>
      <c r="J2020" s="17">
        <v>16.782831000000002</v>
      </c>
      <c r="K2020" s="17">
        <v>-96.032470000000004</v>
      </c>
      <c r="L2020" s="17" t="str">
        <f>HYPERLINK("https://maps.google.com/?q=16.782831,-96.03247", "🔗 Ver Mapa")</f>
        <v>🔗 Ver Mapa</v>
      </c>
    </row>
    <row r="2021" spans="1:12" ht="43.5" x14ac:dyDescent="0.35">
      <c r="A2021" s="5" t="s">
        <v>4</v>
      </c>
      <c r="B2021" s="5" t="s">
        <v>17</v>
      </c>
      <c r="C2021" s="5" t="s">
        <v>1313</v>
      </c>
      <c r="D2021" s="8" t="s">
        <v>64</v>
      </c>
      <c r="E2021" s="16" t="s">
        <v>75</v>
      </c>
      <c r="F2021" s="16" t="s">
        <v>84</v>
      </c>
      <c r="G2021" s="8" t="s">
        <v>1314</v>
      </c>
      <c r="H2021" s="8" t="s">
        <v>1315</v>
      </c>
      <c r="I2021" s="16" t="s">
        <v>296</v>
      </c>
      <c r="J2021" s="16">
        <v>16.782938000000001</v>
      </c>
      <c r="K2021" s="16">
        <v>-96.032465999999999</v>
      </c>
      <c r="L2021" s="16" t="str">
        <f>HYPERLINK("https://maps.google.com/?q=16.782938,-96.032466", "🔗 Ver Mapa")</f>
        <v>🔗 Ver Mapa</v>
      </c>
    </row>
    <row r="2022" spans="1:12" ht="43.5" x14ac:dyDescent="0.35">
      <c r="A2022" s="6" t="s">
        <v>4</v>
      </c>
      <c r="B2022" s="6" t="s">
        <v>17</v>
      </c>
      <c r="C2022" s="6" t="s">
        <v>1313</v>
      </c>
      <c r="D2022" s="11" t="s">
        <v>64</v>
      </c>
      <c r="E2022" s="17" t="s">
        <v>75</v>
      </c>
      <c r="F2022" s="17" t="s">
        <v>84</v>
      </c>
      <c r="G2022" s="11" t="s">
        <v>1314</v>
      </c>
      <c r="H2022" s="11" t="s">
        <v>1315</v>
      </c>
      <c r="I2022" s="17" t="s">
        <v>296</v>
      </c>
      <c r="J2022" s="17">
        <v>16.782952999999999</v>
      </c>
      <c r="K2022" s="17">
        <v>-96.035014000000004</v>
      </c>
      <c r="L2022" s="17" t="str">
        <f>HYPERLINK("https://maps.google.com/?q=16.782953,-96.035014", "🔗 Ver Mapa")</f>
        <v>🔗 Ver Mapa</v>
      </c>
    </row>
    <row r="2023" spans="1:12" ht="43.5" x14ac:dyDescent="0.35">
      <c r="A2023" s="5" t="s">
        <v>4</v>
      </c>
      <c r="B2023" s="5" t="s">
        <v>17</v>
      </c>
      <c r="C2023" s="5" t="s">
        <v>1313</v>
      </c>
      <c r="D2023" s="8" t="s">
        <v>64</v>
      </c>
      <c r="E2023" s="16" t="s">
        <v>75</v>
      </c>
      <c r="F2023" s="16" t="s">
        <v>84</v>
      </c>
      <c r="G2023" s="8" t="s">
        <v>1314</v>
      </c>
      <c r="H2023" s="8" t="s">
        <v>1315</v>
      </c>
      <c r="I2023" s="16" t="s">
        <v>296</v>
      </c>
      <c r="J2023" s="16">
        <v>16.782958000000001</v>
      </c>
      <c r="K2023" s="16">
        <v>-96.032501999999994</v>
      </c>
      <c r="L2023" s="16" t="str">
        <f>HYPERLINK("https://maps.google.com/?q=16.782958,-96.032502", "🔗 Ver Mapa")</f>
        <v>🔗 Ver Mapa</v>
      </c>
    </row>
    <row r="2024" spans="1:12" ht="43.5" x14ac:dyDescent="0.35">
      <c r="A2024" s="6" t="s">
        <v>4</v>
      </c>
      <c r="B2024" s="6" t="s">
        <v>17</v>
      </c>
      <c r="C2024" s="6" t="s">
        <v>1313</v>
      </c>
      <c r="D2024" s="11" t="s">
        <v>64</v>
      </c>
      <c r="E2024" s="17" t="s">
        <v>75</v>
      </c>
      <c r="F2024" s="17" t="s">
        <v>84</v>
      </c>
      <c r="G2024" s="11" t="s">
        <v>1314</v>
      </c>
      <c r="H2024" s="11" t="s">
        <v>1315</v>
      </c>
      <c r="I2024" s="17" t="s">
        <v>296</v>
      </c>
      <c r="J2024" s="17">
        <v>16.783004999999999</v>
      </c>
      <c r="K2024" s="17">
        <v>-96.031721000000005</v>
      </c>
      <c r="L2024" s="17" t="str">
        <f>HYPERLINK("https://maps.google.com/?q=16.783005,-96.031721", "🔗 Ver Mapa")</f>
        <v>🔗 Ver Mapa</v>
      </c>
    </row>
    <row r="2025" spans="1:12" ht="43.5" x14ac:dyDescent="0.35">
      <c r="A2025" s="5" t="s">
        <v>4</v>
      </c>
      <c r="B2025" s="5" t="s">
        <v>17</v>
      </c>
      <c r="C2025" s="5" t="s">
        <v>1313</v>
      </c>
      <c r="D2025" s="8" t="s">
        <v>64</v>
      </c>
      <c r="E2025" s="16" t="s">
        <v>75</v>
      </c>
      <c r="F2025" s="16" t="s">
        <v>84</v>
      </c>
      <c r="G2025" s="8" t="s">
        <v>1314</v>
      </c>
      <c r="H2025" s="8" t="s">
        <v>1315</v>
      </c>
      <c r="I2025" s="16" t="s">
        <v>296</v>
      </c>
      <c r="J2025" s="16">
        <v>16.783026</v>
      </c>
      <c r="K2025" s="16">
        <v>-96.031575000000004</v>
      </c>
      <c r="L2025" s="16" t="str">
        <f>HYPERLINK("https://maps.google.com/?q=16.783026,-96.031575", "🔗 Ver Mapa")</f>
        <v>🔗 Ver Mapa</v>
      </c>
    </row>
    <row r="2026" spans="1:12" ht="43.5" x14ac:dyDescent="0.35">
      <c r="A2026" s="6" t="s">
        <v>4</v>
      </c>
      <c r="B2026" s="6" t="s">
        <v>17</v>
      </c>
      <c r="C2026" s="6" t="s">
        <v>1313</v>
      </c>
      <c r="D2026" s="11" t="s">
        <v>64</v>
      </c>
      <c r="E2026" s="17" t="s">
        <v>75</v>
      </c>
      <c r="F2026" s="17" t="s">
        <v>84</v>
      </c>
      <c r="G2026" s="11" t="s">
        <v>1314</v>
      </c>
      <c r="H2026" s="11" t="s">
        <v>1315</v>
      </c>
      <c r="I2026" s="17" t="s">
        <v>296</v>
      </c>
      <c r="J2026" s="17">
        <v>16.783035000000002</v>
      </c>
      <c r="K2026" s="17">
        <v>-96.034969000000004</v>
      </c>
      <c r="L2026" s="17" t="str">
        <f>HYPERLINK("https://maps.google.com/?q=16.783035,-96.034969", "🔗 Ver Mapa")</f>
        <v>🔗 Ver Mapa</v>
      </c>
    </row>
    <row r="2027" spans="1:12" ht="43.5" x14ac:dyDescent="0.35">
      <c r="A2027" s="5" t="s">
        <v>4</v>
      </c>
      <c r="B2027" s="5" t="s">
        <v>17</v>
      </c>
      <c r="C2027" s="5" t="s">
        <v>1313</v>
      </c>
      <c r="D2027" s="8" t="s">
        <v>64</v>
      </c>
      <c r="E2027" s="16" t="s">
        <v>75</v>
      </c>
      <c r="F2027" s="16" t="s">
        <v>84</v>
      </c>
      <c r="G2027" s="8" t="s">
        <v>1314</v>
      </c>
      <c r="H2027" s="8" t="s">
        <v>1315</v>
      </c>
      <c r="I2027" s="16" t="s">
        <v>296</v>
      </c>
      <c r="J2027" s="16">
        <v>16.783045999999999</v>
      </c>
      <c r="K2027" s="16">
        <v>-96.032461999999995</v>
      </c>
      <c r="L2027" s="16" t="str">
        <f>HYPERLINK("https://maps.google.com/?q=16.783046,-96.032462", "🔗 Ver Mapa")</f>
        <v>🔗 Ver Mapa</v>
      </c>
    </row>
    <row r="2028" spans="1:12" ht="43.5" x14ac:dyDescent="0.35">
      <c r="A2028" s="6" t="s">
        <v>4</v>
      </c>
      <c r="B2028" s="6" t="s">
        <v>17</v>
      </c>
      <c r="C2028" s="6" t="s">
        <v>1313</v>
      </c>
      <c r="D2028" s="11" t="s">
        <v>64</v>
      </c>
      <c r="E2028" s="17" t="s">
        <v>75</v>
      </c>
      <c r="F2028" s="17" t="s">
        <v>84</v>
      </c>
      <c r="G2028" s="11" t="s">
        <v>1314</v>
      </c>
      <c r="H2028" s="11" t="s">
        <v>1315</v>
      </c>
      <c r="I2028" s="17" t="s">
        <v>296</v>
      </c>
      <c r="J2028" s="17">
        <v>16.783065000000001</v>
      </c>
      <c r="K2028" s="17">
        <v>-96.032486000000006</v>
      </c>
      <c r="L2028" s="17" t="str">
        <f>HYPERLINK("https://maps.google.com/?q=16.783065,-96.032486", "🔗 Ver Mapa")</f>
        <v>🔗 Ver Mapa</v>
      </c>
    </row>
    <row r="2029" spans="1:12" ht="43.5" x14ac:dyDescent="0.35">
      <c r="A2029" s="5" t="s">
        <v>4</v>
      </c>
      <c r="B2029" s="5" t="s">
        <v>17</v>
      </c>
      <c r="C2029" s="5" t="s">
        <v>1313</v>
      </c>
      <c r="D2029" s="8" t="s">
        <v>64</v>
      </c>
      <c r="E2029" s="16" t="s">
        <v>75</v>
      </c>
      <c r="F2029" s="16" t="s">
        <v>84</v>
      </c>
      <c r="G2029" s="8" t="s">
        <v>1314</v>
      </c>
      <c r="H2029" s="8" t="s">
        <v>1315</v>
      </c>
      <c r="I2029" s="16" t="s">
        <v>296</v>
      </c>
      <c r="J2029" s="16">
        <v>16.783078</v>
      </c>
      <c r="K2029" s="16">
        <v>-96.031908999999999</v>
      </c>
      <c r="L2029" s="16" t="str">
        <f>HYPERLINK("https://maps.google.com/?q=16.783078,-96.031909", "🔗 Ver Mapa")</f>
        <v>🔗 Ver Mapa</v>
      </c>
    </row>
    <row r="2030" spans="1:12" ht="43.5" x14ac:dyDescent="0.35">
      <c r="A2030" s="6" t="s">
        <v>4</v>
      </c>
      <c r="B2030" s="6" t="s">
        <v>17</v>
      </c>
      <c r="C2030" s="6" t="s">
        <v>1313</v>
      </c>
      <c r="D2030" s="11" t="s">
        <v>64</v>
      </c>
      <c r="E2030" s="17" t="s">
        <v>75</v>
      </c>
      <c r="F2030" s="17" t="s">
        <v>84</v>
      </c>
      <c r="G2030" s="11" t="s">
        <v>1314</v>
      </c>
      <c r="H2030" s="11" t="s">
        <v>1315</v>
      </c>
      <c r="I2030" s="17" t="s">
        <v>296</v>
      </c>
      <c r="J2030" s="17">
        <v>16.783111999999999</v>
      </c>
      <c r="K2030" s="17">
        <v>-96.034869999999998</v>
      </c>
      <c r="L2030" s="17" t="str">
        <f>HYPERLINK("https://maps.google.com/?q=16.783112,-96.03487", "🔗 Ver Mapa")</f>
        <v>🔗 Ver Mapa</v>
      </c>
    </row>
    <row r="2031" spans="1:12" ht="43.5" x14ac:dyDescent="0.35">
      <c r="A2031" s="5" t="s">
        <v>4</v>
      </c>
      <c r="B2031" s="5" t="s">
        <v>17</v>
      </c>
      <c r="C2031" s="5" t="s">
        <v>1313</v>
      </c>
      <c r="D2031" s="8" t="s">
        <v>64</v>
      </c>
      <c r="E2031" s="16" t="s">
        <v>75</v>
      </c>
      <c r="F2031" s="16" t="s">
        <v>84</v>
      </c>
      <c r="G2031" s="8" t="s">
        <v>1314</v>
      </c>
      <c r="H2031" s="8" t="s">
        <v>1315</v>
      </c>
      <c r="I2031" s="16" t="s">
        <v>296</v>
      </c>
      <c r="J2031" s="16">
        <v>16.783116</v>
      </c>
      <c r="K2031" s="16">
        <v>-96.032437000000002</v>
      </c>
      <c r="L2031" s="16" t="str">
        <f>HYPERLINK("https://maps.google.com/?q=16.783116,-96.032437", "🔗 Ver Mapa")</f>
        <v>🔗 Ver Mapa</v>
      </c>
    </row>
    <row r="2032" spans="1:12" ht="43.5" x14ac:dyDescent="0.35">
      <c r="A2032" s="6" t="s">
        <v>4</v>
      </c>
      <c r="B2032" s="6" t="s">
        <v>17</v>
      </c>
      <c r="C2032" s="6" t="s">
        <v>1313</v>
      </c>
      <c r="D2032" s="11" t="s">
        <v>64</v>
      </c>
      <c r="E2032" s="17" t="s">
        <v>75</v>
      </c>
      <c r="F2032" s="17" t="s">
        <v>84</v>
      </c>
      <c r="G2032" s="11" t="s">
        <v>1314</v>
      </c>
      <c r="H2032" s="11" t="s">
        <v>1315</v>
      </c>
      <c r="I2032" s="17" t="s">
        <v>296</v>
      </c>
      <c r="J2032" s="17">
        <v>16.783144</v>
      </c>
      <c r="K2032" s="17">
        <v>-96.032377999999994</v>
      </c>
      <c r="L2032" s="17" t="str">
        <f>HYPERLINK("https://maps.google.com/?q=16.783144,-96.032378", "🔗 Ver Mapa")</f>
        <v>🔗 Ver Mapa</v>
      </c>
    </row>
    <row r="2033" spans="1:12" ht="43.5" x14ac:dyDescent="0.35">
      <c r="A2033" s="5" t="s">
        <v>4</v>
      </c>
      <c r="B2033" s="5" t="s">
        <v>17</v>
      </c>
      <c r="C2033" s="5" t="s">
        <v>1313</v>
      </c>
      <c r="D2033" s="8" t="s">
        <v>64</v>
      </c>
      <c r="E2033" s="16" t="s">
        <v>75</v>
      </c>
      <c r="F2033" s="16" t="s">
        <v>84</v>
      </c>
      <c r="G2033" s="8" t="s">
        <v>1314</v>
      </c>
      <c r="H2033" s="8" t="s">
        <v>1315</v>
      </c>
      <c r="I2033" s="16" t="s">
        <v>296</v>
      </c>
      <c r="J2033" s="16">
        <v>16.783149999999999</v>
      </c>
      <c r="K2033" s="16">
        <v>-96.032095999999996</v>
      </c>
      <c r="L2033" s="16" t="str">
        <f>HYPERLINK("https://maps.google.com/?q=16.78315,-96.032096", "🔗 Ver Mapa")</f>
        <v>🔗 Ver Mapa</v>
      </c>
    </row>
    <row r="2034" spans="1:12" ht="43.5" x14ac:dyDescent="0.35">
      <c r="A2034" s="6" t="s">
        <v>4</v>
      </c>
      <c r="B2034" s="6" t="s">
        <v>17</v>
      </c>
      <c r="C2034" s="6" t="s">
        <v>1313</v>
      </c>
      <c r="D2034" s="11" t="s">
        <v>64</v>
      </c>
      <c r="E2034" s="17" t="s">
        <v>75</v>
      </c>
      <c r="F2034" s="17" t="s">
        <v>84</v>
      </c>
      <c r="G2034" s="11" t="s">
        <v>1314</v>
      </c>
      <c r="H2034" s="11" t="s">
        <v>1315</v>
      </c>
      <c r="I2034" s="17" t="s">
        <v>296</v>
      </c>
      <c r="J2034" s="17">
        <v>16.783169000000001</v>
      </c>
      <c r="K2034" s="17">
        <v>-96.032252999999997</v>
      </c>
      <c r="L2034" s="17" t="str">
        <f>HYPERLINK("https://maps.google.com/?q=16.783169,-96.032253", "🔗 Ver Mapa")</f>
        <v>🔗 Ver Mapa</v>
      </c>
    </row>
    <row r="2035" spans="1:12" ht="43.5" x14ac:dyDescent="0.35">
      <c r="A2035" s="5" t="s">
        <v>4</v>
      </c>
      <c r="B2035" s="5" t="s">
        <v>17</v>
      </c>
      <c r="C2035" s="5" t="s">
        <v>1313</v>
      </c>
      <c r="D2035" s="8" t="s">
        <v>64</v>
      </c>
      <c r="E2035" s="16" t="s">
        <v>75</v>
      </c>
      <c r="F2035" s="16" t="s">
        <v>84</v>
      </c>
      <c r="G2035" s="8" t="s">
        <v>1314</v>
      </c>
      <c r="H2035" s="8" t="s">
        <v>1315</v>
      </c>
      <c r="I2035" s="16" t="s">
        <v>296</v>
      </c>
      <c r="J2035" s="16">
        <v>16.783169999999998</v>
      </c>
      <c r="K2035" s="16">
        <v>-96.031436999999997</v>
      </c>
      <c r="L2035" s="16" t="str">
        <f>HYPERLINK("https://maps.google.com/?q=16.78317,-96.031437", "🔗 Ver Mapa")</f>
        <v>🔗 Ver Mapa</v>
      </c>
    </row>
    <row r="2036" spans="1:12" ht="43.5" x14ac:dyDescent="0.35">
      <c r="A2036" s="6" t="s">
        <v>4</v>
      </c>
      <c r="B2036" s="6" t="s">
        <v>17</v>
      </c>
      <c r="C2036" s="6" t="s">
        <v>1313</v>
      </c>
      <c r="D2036" s="11" t="s">
        <v>64</v>
      </c>
      <c r="E2036" s="17" t="s">
        <v>75</v>
      </c>
      <c r="F2036" s="17" t="s">
        <v>84</v>
      </c>
      <c r="G2036" s="11" t="s">
        <v>1314</v>
      </c>
      <c r="H2036" s="11" t="s">
        <v>1315</v>
      </c>
      <c r="I2036" s="17" t="s">
        <v>296</v>
      </c>
      <c r="J2036" s="17">
        <v>16.783194000000002</v>
      </c>
      <c r="K2036" s="17">
        <v>-96.034980000000004</v>
      </c>
      <c r="L2036" s="17" t="str">
        <f>HYPERLINK("https://maps.google.com/?q=16.783194,-96.03498", "🔗 Ver Mapa")</f>
        <v>🔗 Ver Mapa</v>
      </c>
    </row>
    <row r="2037" spans="1:12" ht="43.5" x14ac:dyDescent="0.35">
      <c r="A2037" s="5" t="s">
        <v>4</v>
      </c>
      <c r="B2037" s="5" t="s">
        <v>17</v>
      </c>
      <c r="C2037" s="5" t="s">
        <v>1313</v>
      </c>
      <c r="D2037" s="8" t="s">
        <v>64</v>
      </c>
      <c r="E2037" s="16" t="s">
        <v>75</v>
      </c>
      <c r="F2037" s="16" t="s">
        <v>84</v>
      </c>
      <c r="G2037" s="8" t="s">
        <v>1314</v>
      </c>
      <c r="H2037" s="8" t="s">
        <v>1315</v>
      </c>
      <c r="I2037" s="16" t="s">
        <v>296</v>
      </c>
      <c r="J2037" s="16">
        <v>16.78323</v>
      </c>
      <c r="K2037" s="16">
        <v>-96.035383999999993</v>
      </c>
      <c r="L2037" s="16" t="str">
        <f>HYPERLINK("https://maps.google.com/?q=16.78323,-96.035384", "🔗 Ver Mapa")</f>
        <v>🔗 Ver Mapa</v>
      </c>
    </row>
    <row r="2038" spans="1:12" ht="43.5" x14ac:dyDescent="0.35">
      <c r="A2038" s="6" t="s">
        <v>4</v>
      </c>
      <c r="B2038" s="6" t="s">
        <v>17</v>
      </c>
      <c r="C2038" s="6" t="s">
        <v>1313</v>
      </c>
      <c r="D2038" s="11" t="s">
        <v>64</v>
      </c>
      <c r="E2038" s="17" t="s">
        <v>75</v>
      </c>
      <c r="F2038" s="17" t="s">
        <v>84</v>
      </c>
      <c r="G2038" s="11" t="s">
        <v>1314</v>
      </c>
      <c r="H2038" s="11" t="s">
        <v>1315</v>
      </c>
      <c r="I2038" s="17" t="s">
        <v>296</v>
      </c>
      <c r="J2038" s="17">
        <v>16.783270000000002</v>
      </c>
      <c r="K2038" s="17">
        <v>-96.033073999999999</v>
      </c>
      <c r="L2038" s="17" t="str">
        <f>HYPERLINK("https://maps.google.com/?q=16.78327,-96.033074", "🔗 Ver Mapa")</f>
        <v>🔗 Ver Mapa</v>
      </c>
    </row>
    <row r="2039" spans="1:12" ht="43.5" x14ac:dyDescent="0.35">
      <c r="A2039" s="5" t="s">
        <v>4</v>
      </c>
      <c r="B2039" s="5" t="s">
        <v>17</v>
      </c>
      <c r="C2039" s="5" t="s">
        <v>1313</v>
      </c>
      <c r="D2039" s="8" t="s">
        <v>64</v>
      </c>
      <c r="E2039" s="16" t="s">
        <v>75</v>
      </c>
      <c r="F2039" s="16" t="s">
        <v>84</v>
      </c>
      <c r="G2039" s="8" t="s">
        <v>1314</v>
      </c>
      <c r="H2039" s="8" t="s">
        <v>1315</v>
      </c>
      <c r="I2039" s="16" t="s">
        <v>296</v>
      </c>
      <c r="J2039" s="16">
        <v>16.783283000000001</v>
      </c>
      <c r="K2039" s="16">
        <v>-96.031329999999997</v>
      </c>
      <c r="L2039" s="16" t="str">
        <f>HYPERLINK("https://maps.google.com/?q=16.783283,-96.03133", "🔗 Ver Mapa")</f>
        <v>🔗 Ver Mapa</v>
      </c>
    </row>
    <row r="2040" spans="1:12" ht="43.5" x14ac:dyDescent="0.35">
      <c r="A2040" s="6" t="s">
        <v>4</v>
      </c>
      <c r="B2040" s="6" t="s">
        <v>17</v>
      </c>
      <c r="C2040" s="6" t="s">
        <v>1313</v>
      </c>
      <c r="D2040" s="11" t="s">
        <v>64</v>
      </c>
      <c r="E2040" s="17" t="s">
        <v>75</v>
      </c>
      <c r="F2040" s="17" t="s">
        <v>84</v>
      </c>
      <c r="G2040" s="11" t="s">
        <v>1314</v>
      </c>
      <c r="H2040" s="11" t="s">
        <v>1315</v>
      </c>
      <c r="I2040" s="17" t="s">
        <v>296</v>
      </c>
      <c r="J2040" s="17">
        <v>16.783334</v>
      </c>
      <c r="K2040" s="17">
        <v>-96.031318999999996</v>
      </c>
      <c r="L2040" s="17" t="str">
        <f>HYPERLINK("https://maps.google.com/?q=16.783334,-96.031319", "🔗 Ver Mapa")</f>
        <v>🔗 Ver Mapa</v>
      </c>
    </row>
    <row r="2041" spans="1:12" ht="43.5" x14ac:dyDescent="0.35">
      <c r="A2041" s="5" t="s">
        <v>4</v>
      </c>
      <c r="B2041" s="5" t="s">
        <v>17</v>
      </c>
      <c r="C2041" s="5" t="s">
        <v>1313</v>
      </c>
      <c r="D2041" s="8" t="s">
        <v>64</v>
      </c>
      <c r="E2041" s="16" t="s">
        <v>75</v>
      </c>
      <c r="F2041" s="16" t="s">
        <v>84</v>
      </c>
      <c r="G2041" s="8" t="s">
        <v>1314</v>
      </c>
      <c r="H2041" s="8" t="s">
        <v>1315</v>
      </c>
      <c r="I2041" s="16" t="s">
        <v>296</v>
      </c>
      <c r="J2041" s="16">
        <v>16.783339999999999</v>
      </c>
      <c r="K2041" s="16">
        <v>-96.032612999999998</v>
      </c>
      <c r="L2041" s="16" t="str">
        <f>HYPERLINK("https://maps.google.com/?q=16.78334,-96.032613", "🔗 Ver Mapa")</f>
        <v>🔗 Ver Mapa</v>
      </c>
    </row>
    <row r="2042" spans="1:12" ht="43.5" x14ac:dyDescent="0.35">
      <c r="A2042" s="6" t="s">
        <v>4</v>
      </c>
      <c r="B2042" s="6" t="s">
        <v>17</v>
      </c>
      <c r="C2042" s="6" t="s">
        <v>1313</v>
      </c>
      <c r="D2042" s="11" t="s">
        <v>64</v>
      </c>
      <c r="E2042" s="17" t="s">
        <v>75</v>
      </c>
      <c r="F2042" s="17" t="s">
        <v>84</v>
      </c>
      <c r="G2042" s="11" t="s">
        <v>1314</v>
      </c>
      <c r="H2042" s="11" t="s">
        <v>1315</v>
      </c>
      <c r="I2042" s="17" t="s">
        <v>296</v>
      </c>
      <c r="J2042" s="17">
        <v>16.783372</v>
      </c>
      <c r="K2042" s="17">
        <v>-96.031458999999998</v>
      </c>
      <c r="L2042" s="17" t="str">
        <f>HYPERLINK("https://maps.google.com/?q=16.783372,-96.031459", "🔗 Ver Mapa")</f>
        <v>🔗 Ver Mapa</v>
      </c>
    </row>
    <row r="2043" spans="1:12" ht="43.5" x14ac:dyDescent="0.35">
      <c r="A2043" s="5" t="s">
        <v>4</v>
      </c>
      <c r="B2043" s="5" t="s">
        <v>17</v>
      </c>
      <c r="C2043" s="5" t="s">
        <v>1313</v>
      </c>
      <c r="D2043" s="8" t="s">
        <v>64</v>
      </c>
      <c r="E2043" s="16" t="s">
        <v>75</v>
      </c>
      <c r="F2043" s="16" t="s">
        <v>84</v>
      </c>
      <c r="G2043" s="8" t="s">
        <v>1314</v>
      </c>
      <c r="H2043" s="8" t="s">
        <v>1315</v>
      </c>
      <c r="I2043" s="16" t="s">
        <v>296</v>
      </c>
      <c r="J2043" s="16">
        <v>16.783407</v>
      </c>
      <c r="K2043" s="16">
        <v>-96.031301999999997</v>
      </c>
      <c r="L2043" s="16" t="str">
        <f>HYPERLINK("https://maps.google.com/?q=16.783407,-96.031302", "🔗 Ver Mapa")</f>
        <v>🔗 Ver Mapa</v>
      </c>
    </row>
    <row r="2044" spans="1:12" ht="43.5" x14ac:dyDescent="0.35">
      <c r="A2044" s="6" t="s">
        <v>4</v>
      </c>
      <c r="B2044" s="6" t="s">
        <v>17</v>
      </c>
      <c r="C2044" s="6" t="s">
        <v>1313</v>
      </c>
      <c r="D2044" s="11" t="s">
        <v>64</v>
      </c>
      <c r="E2044" s="17" t="s">
        <v>75</v>
      </c>
      <c r="F2044" s="17" t="s">
        <v>84</v>
      </c>
      <c r="G2044" s="11" t="s">
        <v>1314</v>
      </c>
      <c r="H2044" s="11" t="s">
        <v>1315</v>
      </c>
      <c r="I2044" s="17" t="s">
        <v>296</v>
      </c>
      <c r="J2044" s="17">
        <v>16.783425999999999</v>
      </c>
      <c r="K2044" s="17">
        <v>-96.031700000000001</v>
      </c>
      <c r="L2044" s="17" t="str">
        <f>HYPERLINK("https://maps.google.com/?q=16.783426,-96.0317", "🔗 Ver Mapa")</f>
        <v>🔗 Ver Mapa</v>
      </c>
    </row>
    <row r="2045" spans="1:12" ht="43.5" x14ac:dyDescent="0.35">
      <c r="A2045" s="5" t="s">
        <v>4</v>
      </c>
      <c r="B2045" s="5" t="s">
        <v>17</v>
      </c>
      <c r="C2045" s="5" t="s">
        <v>1313</v>
      </c>
      <c r="D2045" s="8" t="s">
        <v>64</v>
      </c>
      <c r="E2045" s="16" t="s">
        <v>75</v>
      </c>
      <c r="F2045" s="16" t="s">
        <v>84</v>
      </c>
      <c r="G2045" s="8" t="s">
        <v>1314</v>
      </c>
      <c r="H2045" s="8" t="s">
        <v>1315</v>
      </c>
      <c r="I2045" s="16" t="s">
        <v>296</v>
      </c>
      <c r="J2045" s="16">
        <v>16.783467999999999</v>
      </c>
      <c r="K2045" s="16">
        <v>-96.031197000000006</v>
      </c>
      <c r="L2045" s="16" t="str">
        <f>HYPERLINK("https://maps.google.com/?q=16.783468,-96.031197", "🔗 Ver Mapa")</f>
        <v>🔗 Ver Mapa</v>
      </c>
    </row>
    <row r="2046" spans="1:12" ht="43.5" x14ac:dyDescent="0.35">
      <c r="A2046" s="6" t="s">
        <v>4</v>
      </c>
      <c r="B2046" s="6" t="s">
        <v>17</v>
      </c>
      <c r="C2046" s="6" t="s">
        <v>1313</v>
      </c>
      <c r="D2046" s="11" t="s">
        <v>64</v>
      </c>
      <c r="E2046" s="17" t="s">
        <v>75</v>
      </c>
      <c r="F2046" s="17" t="s">
        <v>84</v>
      </c>
      <c r="G2046" s="11" t="s">
        <v>1314</v>
      </c>
      <c r="H2046" s="11" t="s">
        <v>1315</v>
      </c>
      <c r="I2046" s="17" t="s">
        <v>296</v>
      </c>
      <c r="J2046" s="17">
        <v>16.783473000000001</v>
      </c>
      <c r="K2046" s="17">
        <v>-96.031790000000001</v>
      </c>
      <c r="L2046" s="17" t="str">
        <f>HYPERLINK("https://maps.google.com/?q=16.783473,-96.03179", "🔗 Ver Mapa")</f>
        <v>🔗 Ver Mapa</v>
      </c>
    </row>
    <row r="2047" spans="1:12" ht="43.5" x14ac:dyDescent="0.35">
      <c r="A2047" s="5" t="s">
        <v>4</v>
      </c>
      <c r="B2047" s="5" t="s">
        <v>17</v>
      </c>
      <c r="C2047" s="5" t="s">
        <v>1313</v>
      </c>
      <c r="D2047" s="8" t="s">
        <v>64</v>
      </c>
      <c r="E2047" s="16" t="s">
        <v>75</v>
      </c>
      <c r="F2047" s="16" t="s">
        <v>84</v>
      </c>
      <c r="G2047" s="8" t="s">
        <v>1314</v>
      </c>
      <c r="H2047" s="8" t="s">
        <v>1315</v>
      </c>
      <c r="I2047" s="16" t="s">
        <v>296</v>
      </c>
      <c r="J2047" s="16">
        <v>16.783479</v>
      </c>
      <c r="K2047" s="16">
        <v>-96.032923999999994</v>
      </c>
      <c r="L2047" s="16" t="str">
        <f>HYPERLINK("https://maps.google.com/?q=16.783479,-96.032924", "🔗 Ver Mapa")</f>
        <v>🔗 Ver Mapa</v>
      </c>
    </row>
    <row r="2048" spans="1:12" ht="43.5" x14ac:dyDescent="0.35">
      <c r="A2048" s="6" t="s">
        <v>4</v>
      </c>
      <c r="B2048" s="6" t="s">
        <v>17</v>
      </c>
      <c r="C2048" s="6" t="s">
        <v>1313</v>
      </c>
      <c r="D2048" s="11" t="s">
        <v>64</v>
      </c>
      <c r="E2048" s="17" t="s">
        <v>75</v>
      </c>
      <c r="F2048" s="17" t="s">
        <v>84</v>
      </c>
      <c r="G2048" s="11" t="s">
        <v>1314</v>
      </c>
      <c r="H2048" s="11" t="s">
        <v>1315</v>
      </c>
      <c r="I2048" s="17" t="s">
        <v>296</v>
      </c>
      <c r="J2048" s="17">
        <v>16.783531</v>
      </c>
      <c r="K2048" s="17">
        <v>-96.031525999999999</v>
      </c>
      <c r="L2048" s="17" t="str">
        <f>HYPERLINK("https://maps.google.com/?q=16.783531,-96.031526", "🔗 Ver Mapa")</f>
        <v>🔗 Ver Mapa</v>
      </c>
    </row>
    <row r="2049" spans="1:12" ht="43.5" x14ac:dyDescent="0.35">
      <c r="A2049" s="5" t="s">
        <v>4</v>
      </c>
      <c r="B2049" s="5" t="s">
        <v>17</v>
      </c>
      <c r="C2049" s="5" t="s">
        <v>1313</v>
      </c>
      <c r="D2049" s="8" t="s">
        <v>64</v>
      </c>
      <c r="E2049" s="16" t="s">
        <v>75</v>
      </c>
      <c r="F2049" s="16" t="s">
        <v>84</v>
      </c>
      <c r="G2049" s="8" t="s">
        <v>1314</v>
      </c>
      <c r="H2049" s="8" t="s">
        <v>1315</v>
      </c>
      <c r="I2049" s="16" t="s">
        <v>296</v>
      </c>
      <c r="J2049" s="16">
        <v>16.783588000000002</v>
      </c>
      <c r="K2049" s="16">
        <v>-96.031091000000004</v>
      </c>
      <c r="L2049" s="16" t="str">
        <f>HYPERLINK("https://maps.google.com/?q=16.783588,-96.031091", "🔗 Ver Mapa")</f>
        <v>🔗 Ver Mapa</v>
      </c>
    </row>
    <row r="2050" spans="1:12" ht="43.5" x14ac:dyDescent="0.35">
      <c r="A2050" s="6" t="s">
        <v>4</v>
      </c>
      <c r="B2050" s="6" t="s">
        <v>17</v>
      </c>
      <c r="C2050" s="6" t="s">
        <v>1313</v>
      </c>
      <c r="D2050" s="11" t="s">
        <v>64</v>
      </c>
      <c r="E2050" s="17" t="s">
        <v>75</v>
      </c>
      <c r="F2050" s="17" t="s">
        <v>84</v>
      </c>
      <c r="G2050" s="11" t="s">
        <v>1314</v>
      </c>
      <c r="H2050" s="11" t="s">
        <v>1315</v>
      </c>
      <c r="I2050" s="17" t="s">
        <v>296</v>
      </c>
      <c r="J2050" s="17">
        <v>16.783601000000001</v>
      </c>
      <c r="K2050" s="17">
        <v>-96.032792000000001</v>
      </c>
      <c r="L2050" s="17" t="str">
        <f>HYPERLINK("https://maps.google.com/?q=16.783601,-96.032792", "🔗 Ver Mapa")</f>
        <v>🔗 Ver Mapa</v>
      </c>
    </row>
    <row r="2051" spans="1:12" ht="43.5" x14ac:dyDescent="0.35">
      <c r="A2051" s="5" t="s">
        <v>4</v>
      </c>
      <c r="B2051" s="5" t="s">
        <v>17</v>
      </c>
      <c r="C2051" s="5" t="s">
        <v>1313</v>
      </c>
      <c r="D2051" s="8" t="s">
        <v>64</v>
      </c>
      <c r="E2051" s="16" t="s">
        <v>75</v>
      </c>
      <c r="F2051" s="16" t="s">
        <v>84</v>
      </c>
      <c r="G2051" s="8" t="s">
        <v>1314</v>
      </c>
      <c r="H2051" s="8" t="s">
        <v>1315</v>
      </c>
      <c r="I2051" s="16" t="s">
        <v>296</v>
      </c>
      <c r="J2051" s="16">
        <v>16.783629999999999</v>
      </c>
      <c r="K2051" s="16">
        <v>-96.031227999999999</v>
      </c>
      <c r="L2051" s="16" t="str">
        <f>HYPERLINK("https://maps.google.com/?q=16.78363,-96.031228", "🔗 Ver Mapa")</f>
        <v>🔗 Ver Mapa</v>
      </c>
    </row>
    <row r="2052" spans="1:12" ht="43.5" x14ac:dyDescent="0.35">
      <c r="A2052" s="6" t="s">
        <v>4</v>
      </c>
      <c r="B2052" s="6" t="s">
        <v>17</v>
      </c>
      <c r="C2052" s="6" t="s">
        <v>1313</v>
      </c>
      <c r="D2052" s="11" t="s">
        <v>64</v>
      </c>
      <c r="E2052" s="17" t="s">
        <v>75</v>
      </c>
      <c r="F2052" s="17" t="s">
        <v>84</v>
      </c>
      <c r="G2052" s="11" t="s">
        <v>1314</v>
      </c>
      <c r="H2052" s="11" t="s">
        <v>1315</v>
      </c>
      <c r="I2052" s="17" t="s">
        <v>296</v>
      </c>
      <c r="J2052" s="17">
        <v>16.783636999999999</v>
      </c>
      <c r="K2052" s="17">
        <v>-96.031632000000002</v>
      </c>
      <c r="L2052" s="17" t="str">
        <f>HYPERLINK("https://maps.google.com/?q=16.783637,-96.031632", "🔗 Ver Mapa")</f>
        <v>🔗 Ver Mapa</v>
      </c>
    </row>
    <row r="2053" spans="1:12" ht="43.5" x14ac:dyDescent="0.35">
      <c r="A2053" s="5" t="s">
        <v>4</v>
      </c>
      <c r="B2053" s="5" t="s">
        <v>17</v>
      </c>
      <c r="C2053" s="5" t="s">
        <v>1313</v>
      </c>
      <c r="D2053" s="8" t="s">
        <v>64</v>
      </c>
      <c r="E2053" s="16" t="s">
        <v>75</v>
      </c>
      <c r="F2053" s="16" t="s">
        <v>84</v>
      </c>
      <c r="G2053" s="8" t="s">
        <v>1314</v>
      </c>
      <c r="H2053" s="8" t="s">
        <v>1315</v>
      </c>
      <c r="I2053" s="16" t="s">
        <v>296</v>
      </c>
      <c r="J2053" s="16">
        <v>16.783670999999998</v>
      </c>
      <c r="K2053" s="16">
        <v>-96.031361000000004</v>
      </c>
      <c r="L2053" s="16" t="str">
        <f>HYPERLINK("https://maps.google.com/?q=16.783671,-96.031361", "🔗 Ver Mapa")</f>
        <v>🔗 Ver Mapa</v>
      </c>
    </row>
    <row r="2054" spans="1:12" ht="43.5" x14ac:dyDescent="0.35">
      <c r="A2054" s="6" t="s">
        <v>4</v>
      </c>
      <c r="B2054" s="6" t="s">
        <v>17</v>
      </c>
      <c r="C2054" s="6" t="s">
        <v>1313</v>
      </c>
      <c r="D2054" s="11" t="s">
        <v>64</v>
      </c>
      <c r="E2054" s="17" t="s">
        <v>75</v>
      </c>
      <c r="F2054" s="17" t="s">
        <v>84</v>
      </c>
      <c r="G2054" s="11" t="s">
        <v>1314</v>
      </c>
      <c r="H2054" s="11" t="s">
        <v>1315</v>
      </c>
      <c r="I2054" s="17" t="s">
        <v>296</v>
      </c>
      <c r="J2054" s="17">
        <v>16.783718</v>
      </c>
      <c r="K2054" s="17">
        <v>-96.032871999999998</v>
      </c>
      <c r="L2054" s="17" t="str">
        <f>HYPERLINK("https://maps.google.com/?q=16.783718,-96.032872", "🔗 Ver Mapa")</f>
        <v>🔗 Ver Mapa</v>
      </c>
    </row>
    <row r="2055" spans="1:12" ht="43.5" x14ac:dyDescent="0.35">
      <c r="A2055" s="5" t="s">
        <v>4</v>
      </c>
      <c r="B2055" s="5" t="s">
        <v>17</v>
      </c>
      <c r="C2055" s="5" t="s">
        <v>1313</v>
      </c>
      <c r="D2055" s="8" t="s">
        <v>64</v>
      </c>
      <c r="E2055" s="16" t="s">
        <v>75</v>
      </c>
      <c r="F2055" s="16" t="s">
        <v>84</v>
      </c>
      <c r="G2055" s="8" t="s">
        <v>1314</v>
      </c>
      <c r="H2055" s="8" t="s">
        <v>1315</v>
      </c>
      <c r="I2055" s="16" t="s">
        <v>296</v>
      </c>
      <c r="J2055" s="16">
        <v>16.783742</v>
      </c>
      <c r="K2055" s="16">
        <v>-96.031002999999998</v>
      </c>
      <c r="L2055" s="16" t="str">
        <f>HYPERLINK("https://maps.google.com/?q=16.783742,-96.031003", "🔗 Ver Mapa")</f>
        <v>🔗 Ver Mapa</v>
      </c>
    </row>
    <row r="2056" spans="1:12" ht="43.5" x14ac:dyDescent="0.35">
      <c r="A2056" s="6" t="s">
        <v>4</v>
      </c>
      <c r="B2056" s="6" t="s">
        <v>17</v>
      </c>
      <c r="C2056" s="6" t="s">
        <v>1313</v>
      </c>
      <c r="D2056" s="11" t="s">
        <v>64</v>
      </c>
      <c r="E2056" s="17" t="s">
        <v>75</v>
      </c>
      <c r="F2056" s="17" t="s">
        <v>84</v>
      </c>
      <c r="G2056" s="11" t="s">
        <v>1314</v>
      </c>
      <c r="H2056" s="11" t="s">
        <v>1315</v>
      </c>
      <c r="I2056" s="17" t="s">
        <v>296</v>
      </c>
      <c r="J2056" s="17">
        <v>16.783788000000001</v>
      </c>
      <c r="K2056" s="17">
        <v>-96.031150999999994</v>
      </c>
      <c r="L2056" s="17" t="str">
        <f>HYPERLINK("https://maps.google.com/?q=16.783788,-96.031151", "🔗 Ver Mapa")</f>
        <v>🔗 Ver Mapa</v>
      </c>
    </row>
    <row r="2057" spans="1:12" ht="43.5" x14ac:dyDescent="0.35">
      <c r="A2057" s="5" t="s">
        <v>4</v>
      </c>
      <c r="B2057" s="5" t="s">
        <v>17</v>
      </c>
      <c r="C2057" s="5" t="s">
        <v>1313</v>
      </c>
      <c r="D2057" s="8" t="s">
        <v>64</v>
      </c>
      <c r="E2057" s="16" t="s">
        <v>75</v>
      </c>
      <c r="F2057" s="16" t="s">
        <v>84</v>
      </c>
      <c r="G2057" s="8" t="s">
        <v>1314</v>
      </c>
      <c r="H2057" s="8" t="s">
        <v>1315</v>
      </c>
      <c r="I2057" s="16" t="s">
        <v>296</v>
      </c>
      <c r="J2057" s="16">
        <v>16.783819000000001</v>
      </c>
      <c r="K2057" s="16">
        <v>-96.031453999999997</v>
      </c>
      <c r="L2057" s="16" t="str">
        <f>HYPERLINK("https://maps.google.com/?q=16.783819,-96.031454", "🔗 Ver Mapa")</f>
        <v>🔗 Ver Mapa</v>
      </c>
    </row>
    <row r="2058" spans="1:12" ht="43.5" x14ac:dyDescent="0.35">
      <c r="A2058" s="6" t="s">
        <v>4</v>
      </c>
      <c r="B2058" s="6" t="s">
        <v>17</v>
      </c>
      <c r="C2058" s="6" t="s">
        <v>1313</v>
      </c>
      <c r="D2058" s="11" t="s">
        <v>64</v>
      </c>
      <c r="E2058" s="17" t="s">
        <v>75</v>
      </c>
      <c r="F2058" s="17" t="s">
        <v>84</v>
      </c>
      <c r="G2058" s="11" t="s">
        <v>1314</v>
      </c>
      <c r="H2058" s="11" t="s">
        <v>1315</v>
      </c>
      <c r="I2058" s="17" t="s">
        <v>296</v>
      </c>
      <c r="J2058" s="17">
        <v>16.783833000000001</v>
      </c>
      <c r="K2058" s="17">
        <v>-96.030878000000001</v>
      </c>
      <c r="L2058" s="17" t="str">
        <f>HYPERLINK("https://maps.google.com/?q=16.783833,-96.030878", "🔗 Ver Mapa")</f>
        <v>🔗 Ver Mapa</v>
      </c>
    </row>
    <row r="2059" spans="1:12" ht="43.5" x14ac:dyDescent="0.35">
      <c r="A2059" s="5" t="s">
        <v>4</v>
      </c>
      <c r="B2059" s="5" t="s">
        <v>17</v>
      </c>
      <c r="C2059" s="5" t="s">
        <v>1313</v>
      </c>
      <c r="D2059" s="8" t="s">
        <v>64</v>
      </c>
      <c r="E2059" s="16" t="s">
        <v>75</v>
      </c>
      <c r="F2059" s="16" t="s">
        <v>84</v>
      </c>
      <c r="G2059" s="8" t="s">
        <v>1314</v>
      </c>
      <c r="H2059" s="8" t="s">
        <v>1315</v>
      </c>
      <c r="I2059" s="16" t="s">
        <v>296</v>
      </c>
      <c r="J2059" s="16">
        <v>16.783860000000001</v>
      </c>
      <c r="K2059" s="16">
        <v>-96.031670000000005</v>
      </c>
      <c r="L2059" s="16" t="str">
        <f>HYPERLINK("https://maps.google.com/?q=16.78386,-96.03167", "🔗 Ver Mapa")</f>
        <v>🔗 Ver Mapa</v>
      </c>
    </row>
    <row r="2060" spans="1:12" ht="43.5" x14ac:dyDescent="0.35">
      <c r="A2060" s="6" t="s">
        <v>4</v>
      </c>
      <c r="B2060" s="6" t="s">
        <v>17</v>
      </c>
      <c r="C2060" s="6" t="s">
        <v>1313</v>
      </c>
      <c r="D2060" s="11" t="s">
        <v>64</v>
      </c>
      <c r="E2060" s="17" t="s">
        <v>75</v>
      </c>
      <c r="F2060" s="17" t="s">
        <v>84</v>
      </c>
      <c r="G2060" s="11" t="s">
        <v>1314</v>
      </c>
      <c r="H2060" s="11" t="s">
        <v>1315</v>
      </c>
      <c r="I2060" s="17" t="s">
        <v>296</v>
      </c>
      <c r="J2060" s="17">
        <v>16.78388</v>
      </c>
      <c r="K2060" s="17">
        <v>-96.033021000000005</v>
      </c>
      <c r="L2060" s="17" t="str">
        <f>HYPERLINK("https://maps.google.com/?q=16.78388,-96.033021", "🔗 Ver Mapa")</f>
        <v>🔗 Ver Mapa</v>
      </c>
    </row>
    <row r="2061" spans="1:12" ht="43.5" x14ac:dyDescent="0.35">
      <c r="A2061" s="5" t="s">
        <v>4</v>
      </c>
      <c r="B2061" s="5" t="s">
        <v>17</v>
      </c>
      <c r="C2061" s="5" t="s">
        <v>1313</v>
      </c>
      <c r="D2061" s="8" t="s">
        <v>64</v>
      </c>
      <c r="E2061" s="16" t="s">
        <v>75</v>
      </c>
      <c r="F2061" s="16" t="s">
        <v>84</v>
      </c>
      <c r="G2061" s="8" t="s">
        <v>1314</v>
      </c>
      <c r="H2061" s="8" t="s">
        <v>1315</v>
      </c>
      <c r="I2061" s="16" t="s">
        <v>296</v>
      </c>
      <c r="J2061" s="16">
        <v>16.783940000000001</v>
      </c>
      <c r="K2061" s="16">
        <v>-96.031068000000005</v>
      </c>
      <c r="L2061" s="16" t="str">
        <f>HYPERLINK("https://maps.google.com/?q=16.78394,-96.031068", "🔗 Ver Mapa")</f>
        <v>🔗 Ver Mapa</v>
      </c>
    </row>
    <row r="2062" spans="1:12" ht="43.5" x14ac:dyDescent="0.35">
      <c r="A2062" s="6" t="s">
        <v>4</v>
      </c>
      <c r="B2062" s="6" t="s">
        <v>17</v>
      </c>
      <c r="C2062" s="6" t="s">
        <v>1313</v>
      </c>
      <c r="D2062" s="11" t="s">
        <v>64</v>
      </c>
      <c r="E2062" s="17" t="s">
        <v>75</v>
      </c>
      <c r="F2062" s="17" t="s">
        <v>84</v>
      </c>
      <c r="G2062" s="11" t="s">
        <v>1314</v>
      </c>
      <c r="H2062" s="11" t="s">
        <v>1315</v>
      </c>
      <c r="I2062" s="17" t="s">
        <v>296</v>
      </c>
      <c r="J2062" s="17">
        <v>16.784015</v>
      </c>
      <c r="K2062" s="17">
        <v>-96.031569000000005</v>
      </c>
      <c r="L2062" s="17" t="str">
        <f>HYPERLINK("https://maps.google.com/?q=16.784015,-96.031569", "🔗 Ver Mapa")</f>
        <v>🔗 Ver Mapa</v>
      </c>
    </row>
    <row r="2063" spans="1:12" ht="43.5" x14ac:dyDescent="0.35">
      <c r="A2063" s="5" t="s">
        <v>4</v>
      </c>
      <c r="B2063" s="5" t="s">
        <v>17</v>
      </c>
      <c r="C2063" s="5" t="s">
        <v>1313</v>
      </c>
      <c r="D2063" s="8" t="s">
        <v>64</v>
      </c>
      <c r="E2063" s="16" t="s">
        <v>75</v>
      </c>
      <c r="F2063" s="16" t="s">
        <v>84</v>
      </c>
      <c r="G2063" s="8" t="s">
        <v>1314</v>
      </c>
      <c r="H2063" s="8" t="s">
        <v>1315</v>
      </c>
      <c r="I2063" s="16" t="s">
        <v>296</v>
      </c>
      <c r="J2063" s="16">
        <v>16.784037999999999</v>
      </c>
      <c r="K2063" s="16">
        <v>-96.031158000000005</v>
      </c>
      <c r="L2063" s="16" t="str">
        <f>HYPERLINK("https://maps.google.com/?q=16.784038,-96.031158", "🔗 Ver Mapa")</f>
        <v>🔗 Ver Mapa</v>
      </c>
    </row>
    <row r="2064" spans="1:12" ht="43.5" x14ac:dyDescent="0.35">
      <c r="A2064" s="6" t="s">
        <v>4</v>
      </c>
      <c r="B2064" s="6" t="s">
        <v>17</v>
      </c>
      <c r="C2064" s="6" t="s">
        <v>1313</v>
      </c>
      <c r="D2064" s="11" t="s">
        <v>64</v>
      </c>
      <c r="E2064" s="17" t="s">
        <v>75</v>
      </c>
      <c r="F2064" s="17" t="s">
        <v>84</v>
      </c>
      <c r="G2064" s="11" t="s">
        <v>1314</v>
      </c>
      <c r="H2064" s="11" t="s">
        <v>1315</v>
      </c>
      <c r="I2064" s="17" t="s">
        <v>296</v>
      </c>
      <c r="J2064" s="17">
        <v>16.784047999999999</v>
      </c>
      <c r="K2064" s="17">
        <v>-96.033017000000001</v>
      </c>
      <c r="L2064" s="17" t="str">
        <f>HYPERLINK("https://maps.google.com/?q=16.784048,-96.033017", "🔗 Ver Mapa")</f>
        <v>🔗 Ver Mapa</v>
      </c>
    </row>
    <row r="2065" spans="1:12" ht="43.5" x14ac:dyDescent="0.35">
      <c r="A2065" s="5" t="s">
        <v>4</v>
      </c>
      <c r="B2065" s="5" t="s">
        <v>17</v>
      </c>
      <c r="C2065" s="5" t="s">
        <v>1313</v>
      </c>
      <c r="D2065" s="8" t="s">
        <v>64</v>
      </c>
      <c r="E2065" s="16" t="s">
        <v>75</v>
      </c>
      <c r="F2065" s="16" t="s">
        <v>84</v>
      </c>
      <c r="G2065" s="8" t="s">
        <v>1314</v>
      </c>
      <c r="H2065" s="8" t="s">
        <v>1315</v>
      </c>
      <c r="I2065" s="16" t="s">
        <v>296</v>
      </c>
      <c r="J2065" s="16">
        <v>16.784057000000001</v>
      </c>
      <c r="K2065" s="16">
        <v>-96.030941999999996</v>
      </c>
      <c r="L2065" s="16" t="str">
        <f>HYPERLINK("https://maps.google.com/?q=16.784057,-96.030942", "🔗 Ver Mapa")</f>
        <v>🔗 Ver Mapa</v>
      </c>
    </row>
    <row r="2066" spans="1:12" ht="43.5" x14ac:dyDescent="0.35">
      <c r="A2066" s="6" t="s">
        <v>4</v>
      </c>
      <c r="B2066" s="6" t="s">
        <v>17</v>
      </c>
      <c r="C2066" s="6" t="s">
        <v>1313</v>
      </c>
      <c r="D2066" s="11" t="s">
        <v>64</v>
      </c>
      <c r="E2066" s="17" t="s">
        <v>75</v>
      </c>
      <c r="F2066" s="17" t="s">
        <v>84</v>
      </c>
      <c r="G2066" s="11" t="s">
        <v>1314</v>
      </c>
      <c r="H2066" s="11" t="s">
        <v>1315</v>
      </c>
      <c r="I2066" s="17" t="s">
        <v>296</v>
      </c>
      <c r="J2066" s="17">
        <v>16.78415</v>
      </c>
      <c r="K2066" s="17">
        <v>-96.030732</v>
      </c>
      <c r="L2066" s="17" t="str">
        <f>HYPERLINK("https://maps.google.com/?q=16.78415,-96.030732", "🔗 Ver Mapa")</f>
        <v>🔗 Ver Mapa</v>
      </c>
    </row>
    <row r="2067" spans="1:12" ht="43.5" x14ac:dyDescent="0.35">
      <c r="A2067" s="5" t="s">
        <v>4</v>
      </c>
      <c r="B2067" s="5" t="s">
        <v>17</v>
      </c>
      <c r="C2067" s="5" t="s">
        <v>1313</v>
      </c>
      <c r="D2067" s="8" t="s">
        <v>64</v>
      </c>
      <c r="E2067" s="16" t="s">
        <v>75</v>
      </c>
      <c r="F2067" s="16" t="s">
        <v>84</v>
      </c>
      <c r="G2067" s="8" t="s">
        <v>1314</v>
      </c>
      <c r="H2067" s="8" t="s">
        <v>1315</v>
      </c>
      <c r="I2067" s="16" t="s">
        <v>296</v>
      </c>
      <c r="J2067" s="16">
        <v>16.784182999999999</v>
      </c>
      <c r="K2067" s="16">
        <v>-96.031481999999997</v>
      </c>
      <c r="L2067" s="16" t="str">
        <f>HYPERLINK("https://maps.google.com/?q=16.784183,-96.031482", "🔗 Ver Mapa")</f>
        <v>🔗 Ver Mapa</v>
      </c>
    </row>
    <row r="2068" spans="1:12" ht="43.5" x14ac:dyDescent="0.35">
      <c r="A2068" s="6" t="s">
        <v>4</v>
      </c>
      <c r="B2068" s="6" t="s">
        <v>17</v>
      </c>
      <c r="C2068" s="6" t="s">
        <v>1313</v>
      </c>
      <c r="D2068" s="11" t="s">
        <v>64</v>
      </c>
      <c r="E2068" s="17" t="s">
        <v>75</v>
      </c>
      <c r="F2068" s="17" t="s">
        <v>84</v>
      </c>
      <c r="G2068" s="11" t="s">
        <v>1314</v>
      </c>
      <c r="H2068" s="11" t="s">
        <v>1315</v>
      </c>
      <c r="I2068" s="17" t="s">
        <v>296</v>
      </c>
      <c r="J2068" s="17">
        <v>16.784288</v>
      </c>
      <c r="K2068" s="17">
        <v>-96.030922000000004</v>
      </c>
      <c r="L2068" s="17" t="str">
        <f>HYPERLINK("https://maps.google.com/?q=16.784288,-96.030922", "🔗 Ver Mapa")</f>
        <v>🔗 Ver Mapa</v>
      </c>
    </row>
    <row r="2069" spans="1:12" ht="43.5" x14ac:dyDescent="0.35">
      <c r="A2069" s="5" t="s">
        <v>4</v>
      </c>
      <c r="B2069" s="5" t="s">
        <v>17</v>
      </c>
      <c r="C2069" s="5" t="s">
        <v>1313</v>
      </c>
      <c r="D2069" s="8" t="s">
        <v>64</v>
      </c>
      <c r="E2069" s="16" t="s">
        <v>75</v>
      </c>
      <c r="F2069" s="16" t="s">
        <v>84</v>
      </c>
      <c r="G2069" s="8" t="s">
        <v>1314</v>
      </c>
      <c r="H2069" s="8" t="s">
        <v>1315</v>
      </c>
      <c r="I2069" s="16" t="s">
        <v>296</v>
      </c>
      <c r="J2069" s="16">
        <v>16.784300000000002</v>
      </c>
      <c r="K2069" s="16">
        <v>-96.031154999999998</v>
      </c>
      <c r="L2069" s="16" t="str">
        <f>HYPERLINK("https://maps.google.com/?q=16.7843,-96.031155", "🔗 Ver Mapa")</f>
        <v>🔗 Ver Mapa</v>
      </c>
    </row>
    <row r="2070" spans="1:12" ht="43.5" x14ac:dyDescent="0.35">
      <c r="A2070" s="6" t="s">
        <v>4</v>
      </c>
      <c r="B2070" s="6" t="s">
        <v>17</v>
      </c>
      <c r="C2070" s="6" t="s">
        <v>1313</v>
      </c>
      <c r="D2070" s="11" t="s">
        <v>64</v>
      </c>
      <c r="E2070" s="17" t="s">
        <v>75</v>
      </c>
      <c r="F2070" s="17" t="s">
        <v>84</v>
      </c>
      <c r="G2070" s="11" t="s">
        <v>1314</v>
      </c>
      <c r="H2070" s="11" t="s">
        <v>1315</v>
      </c>
      <c r="I2070" s="17" t="s">
        <v>296</v>
      </c>
      <c r="J2070" s="17">
        <v>16.784327000000001</v>
      </c>
      <c r="K2070" s="17">
        <v>-96.033135000000001</v>
      </c>
      <c r="L2070" s="17" t="str">
        <f>HYPERLINK("https://maps.google.com/?q=16.784327,-96.033135", "🔗 Ver Mapa")</f>
        <v>🔗 Ver Mapa</v>
      </c>
    </row>
    <row r="2071" spans="1:12" ht="43.5" x14ac:dyDescent="0.35">
      <c r="A2071" s="5" t="s">
        <v>4</v>
      </c>
      <c r="B2071" s="5" t="s">
        <v>17</v>
      </c>
      <c r="C2071" s="5" t="s">
        <v>1313</v>
      </c>
      <c r="D2071" s="8" t="s">
        <v>64</v>
      </c>
      <c r="E2071" s="16" t="s">
        <v>75</v>
      </c>
      <c r="F2071" s="16" t="s">
        <v>84</v>
      </c>
      <c r="G2071" s="8" t="s">
        <v>1314</v>
      </c>
      <c r="H2071" s="8" t="s">
        <v>1315</v>
      </c>
      <c r="I2071" s="16" t="s">
        <v>296</v>
      </c>
      <c r="J2071" s="16">
        <v>16.784403000000001</v>
      </c>
      <c r="K2071" s="16">
        <v>-96.033434</v>
      </c>
      <c r="L2071" s="16" t="str">
        <f>HYPERLINK("https://maps.google.com/?q=16.784403,-96.033434", "🔗 Ver Mapa")</f>
        <v>🔗 Ver Mapa</v>
      </c>
    </row>
    <row r="2072" spans="1:12" ht="43.5" x14ac:dyDescent="0.35">
      <c r="A2072" s="6" t="s">
        <v>4</v>
      </c>
      <c r="B2072" s="6" t="s">
        <v>17</v>
      </c>
      <c r="C2072" s="6" t="s">
        <v>1313</v>
      </c>
      <c r="D2072" s="11" t="s">
        <v>64</v>
      </c>
      <c r="E2072" s="17" t="s">
        <v>75</v>
      </c>
      <c r="F2072" s="17" t="s">
        <v>84</v>
      </c>
      <c r="G2072" s="11" t="s">
        <v>1314</v>
      </c>
      <c r="H2072" s="11" t="s">
        <v>1315</v>
      </c>
      <c r="I2072" s="17" t="s">
        <v>296</v>
      </c>
      <c r="J2072" s="17">
        <v>16.784427999999998</v>
      </c>
      <c r="K2072" s="17">
        <v>-96.031459999999996</v>
      </c>
      <c r="L2072" s="17" t="str">
        <f>HYPERLINK("https://maps.google.com/?q=16.784428,-96.03146", "🔗 Ver Mapa")</f>
        <v>🔗 Ver Mapa</v>
      </c>
    </row>
    <row r="2073" spans="1:12" ht="43.5" x14ac:dyDescent="0.35">
      <c r="A2073" s="5" t="s">
        <v>4</v>
      </c>
      <c r="B2073" s="5" t="s">
        <v>17</v>
      </c>
      <c r="C2073" s="5" t="s">
        <v>1313</v>
      </c>
      <c r="D2073" s="8" t="s">
        <v>64</v>
      </c>
      <c r="E2073" s="16" t="s">
        <v>75</v>
      </c>
      <c r="F2073" s="16" t="s">
        <v>84</v>
      </c>
      <c r="G2073" s="8" t="s">
        <v>1314</v>
      </c>
      <c r="H2073" s="8" t="s">
        <v>1315</v>
      </c>
      <c r="I2073" s="16" t="s">
        <v>296</v>
      </c>
      <c r="J2073" s="16">
        <v>16.784445000000002</v>
      </c>
      <c r="K2073" s="16">
        <v>-96.031234999999995</v>
      </c>
      <c r="L2073" s="16" t="str">
        <f>HYPERLINK("https://maps.google.com/?q=16.784445,-96.031235", "🔗 Ver Mapa")</f>
        <v>🔗 Ver Mapa</v>
      </c>
    </row>
    <row r="2074" spans="1:12" ht="43.5" x14ac:dyDescent="0.35">
      <c r="A2074" s="6" t="s">
        <v>4</v>
      </c>
      <c r="B2074" s="6" t="s">
        <v>17</v>
      </c>
      <c r="C2074" s="6" t="s">
        <v>1313</v>
      </c>
      <c r="D2074" s="11" t="s">
        <v>64</v>
      </c>
      <c r="E2074" s="17" t="s">
        <v>75</v>
      </c>
      <c r="F2074" s="17" t="s">
        <v>84</v>
      </c>
      <c r="G2074" s="11" t="s">
        <v>1314</v>
      </c>
      <c r="H2074" s="11" t="s">
        <v>1315</v>
      </c>
      <c r="I2074" s="17" t="s">
        <v>296</v>
      </c>
      <c r="J2074" s="17">
        <v>16.784458999999998</v>
      </c>
      <c r="K2074" s="17">
        <v>-96.030917000000002</v>
      </c>
      <c r="L2074" s="17" t="str">
        <f>HYPERLINK("https://maps.google.com/?q=16.784459,-96.030917", "🔗 Ver Mapa")</f>
        <v>🔗 Ver Mapa</v>
      </c>
    </row>
    <row r="2075" spans="1:12" ht="43.5" x14ac:dyDescent="0.35">
      <c r="A2075" s="5" t="s">
        <v>4</v>
      </c>
      <c r="B2075" s="5" t="s">
        <v>17</v>
      </c>
      <c r="C2075" s="5" t="s">
        <v>1313</v>
      </c>
      <c r="D2075" s="8" t="s">
        <v>64</v>
      </c>
      <c r="E2075" s="16" t="s">
        <v>75</v>
      </c>
      <c r="F2075" s="16" t="s">
        <v>84</v>
      </c>
      <c r="G2075" s="8" t="s">
        <v>1314</v>
      </c>
      <c r="H2075" s="8" t="s">
        <v>1315</v>
      </c>
      <c r="I2075" s="16" t="s">
        <v>296</v>
      </c>
      <c r="J2075" s="16">
        <v>16.784465000000001</v>
      </c>
      <c r="K2075" s="16">
        <v>-96.030511000000004</v>
      </c>
      <c r="L2075" s="16" t="str">
        <f>HYPERLINK("https://maps.google.com/?q=16.784465,-96.030511", "🔗 Ver Mapa")</f>
        <v>🔗 Ver Mapa</v>
      </c>
    </row>
    <row r="2076" spans="1:12" ht="43.5" x14ac:dyDescent="0.35">
      <c r="A2076" s="6" t="s">
        <v>4</v>
      </c>
      <c r="B2076" s="6" t="s">
        <v>17</v>
      </c>
      <c r="C2076" s="6" t="s">
        <v>1313</v>
      </c>
      <c r="D2076" s="11" t="s">
        <v>64</v>
      </c>
      <c r="E2076" s="17" t="s">
        <v>75</v>
      </c>
      <c r="F2076" s="17" t="s">
        <v>84</v>
      </c>
      <c r="G2076" s="11" t="s">
        <v>1314</v>
      </c>
      <c r="H2076" s="11" t="s">
        <v>1315</v>
      </c>
      <c r="I2076" s="17" t="s">
        <v>296</v>
      </c>
      <c r="J2076" s="17">
        <v>16.784527000000001</v>
      </c>
      <c r="K2076" s="17">
        <v>-96.031509</v>
      </c>
      <c r="L2076" s="17" t="str">
        <f>HYPERLINK("https://maps.google.com/?q=16.784527,-96.031509", "🔗 Ver Mapa")</f>
        <v>🔗 Ver Mapa</v>
      </c>
    </row>
    <row r="2077" spans="1:12" ht="43.5" x14ac:dyDescent="0.35">
      <c r="A2077" s="5" t="s">
        <v>4</v>
      </c>
      <c r="B2077" s="5" t="s">
        <v>17</v>
      </c>
      <c r="C2077" s="5" t="s">
        <v>1313</v>
      </c>
      <c r="D2077" s="8" t="s">
        <v>64</v>
      </c>
      <c r="E2077" s="16" t="s">
        <v>75</v>
      </c>
      <c r="F2077" s="16" t="s">
        <v>84</v>
      </c>
      <c r="G2077" s="8" t="s">
        <v>1314</v>
      </c>
      <c r="H2077" s="8" t="s">
        <v>1315</v>
      </c>
      <c r="I2077" s="16" t="s">
        <v>296</v>
      </c>
      <c r="J2077" s="16">
        <v>16.784572000000001</v>
      </c>
      <c r="K2077" s="16">
        <v>-96.031238000000002</v>
      </c>
      <c r="L2077" s="16" t="str">
        <f>HYPERLINK("https://maps.google.com/?q=16.784572,-96.031238", "🔗 Ver Mapa")</f>
        <v>🔗 Ver Mapa</v>
      </c>
    </row>
    <row r="2078" spans="1:12" ht="43.5" x14ac:dyDescent="0.35">
      <c r="A2078" s="6" t="s">
        <v>4</v>
      </c>
      <c r="B2078" s="6" t="s">
        <v>17</v>
      </c>
      <c r="C2078" s="6" t="s">
        <v>1313</v>
      </c>
      <c r="D2078" s="11" t="s">
        <v>64</v>
      </c>
      <c r="E2078" s="17" t="s">
        <v>75</v>
      </c>
      <c r="F2078" s="17" t="s">
        <v>84</v>
      </c>
      <c r="G2078" s="11" t="s">
        <v>1314</v>
      </c>
      <c r="H2078" s="11" t="s">
        <v>1315</v>
      </c>
      <c r="I2078" s="17" t="s">
        <v>296</v>
      </c>
      <c r="J2078" s="17">
        <v>16.78462</v>
      </c>
      <c r="K2078" s="17">
        <v>-96.030854000000005</v>
      </c>
      <c r="L2078" s="17" t="str">
        <f>HYPERLINK("https://maps.google.com/?q=16.78462,-96.030854", "🔗 Ver Mapa")</f>
        <v>🔗 Ver Mapa</v>
      </c>
    </row>
    <row r="2079" spans="1:12" ht="43.5" x14ac:dyDescent="0.35">
      <c r="A2079" s="5" t="s">
        <v>4</v>
      </c>
      <c r="B2079" s="5" t="s">
        <v>17</v>
      </c>
      <c r="C2079" s="5" t="s">
        <v>1313</v>
      </c>
      <c r="D2079" s="8" t="s">
        <v>64</v>
      </c>
      <c r="E2079" s="16" t="s">
        <v>75</v>
      </c>
      <c r="F2079" s="16" t="s">
        <v>84</v>
      </c>
      <c r="G2079" s="8" t="s">
        <v>1314</v>
      </c>
      <c r="H2079" s="8" t="s">
        <v>1315</v>
      </c>
      <c r="I2079" s="16" t="s">
        <v>296</v>
      </c>
      <c r="J2079" s="16">
        <v>16.784628000000001</v>
      </c>
      <c r="K2079" s="16">
        <v>-96.030912000000001</v>
      </c>
      <c r="L2079" s="16" t="str">
        <f>HYPERLINK("https://maps.google.com/?q=16.784628,-96.030912", "🔗 Ver Mapa")</f>
        <v>🔗 Ver Mapa</v>
      </c>
    </row>
    <row r="2080" spans="1:12" ht="43.5" x14ac:dyDescent="0.35">
      <c r="A2080" s="6" t="s">
        <v>4</v>
      </c>
      <c r="B2080" s="6" t="s">
        <v>17</v>
      </c>
      <c r="C2080" s="6" t="s">
        <v>1313</v>
      </c>
      <c r="D2080" s="11" t="s">
        <v>64</v>
      </c>
      <c r="E2080" s="17" t="s">
        <v>75</v>
      </c>
      <c r="F2080" s="17" t="s">
        <v>84</v>
      </c>
      <c r="G2080" s="11" t="s">
        <v>1314</v>
      </c>
      <c r="H2080" s="11" t="s">
        <v>1315</v>
      </c>
      <c r="I2080" s="17" t="s">
        <v>296</v>
      </c>
      <c r="J2080" s="17">
        <v>16.784748</v>
      </c>
      <c r="K2080" s="17">
        <v>-96.030759000000003</v>
      </c>
      <c r="L2080" s="17" t="str">
        <f>HYPERLINK("https://maps.google.com/?q=16.784748,-96.030759", "🔗 Ver Mapa")</f>
        <v>🔗 Ver Mapa</v>
      </c>
    </row>
    <row r="2081" spans="1:12" ht="43.5" x14ac:dyDescent="0.35">
      <c r="A2081" s="5" t="s">
        <v>4</v>
      </c>
      <c r="B2081" s="5" t="s">
        <v>17</v>
      </c>
      <c r="C2081" s="5" t="s">
        <v>1313</v>
      </c>
      <c r="D2081" s="8" t="s">
        <v>64</v>
      </c>
      <c r="E2081" s="16" t="s">
        <v>75</v>
      </c>
      <c r="F2081" s="16" t="s">
        <v>84</v>
      </c>
      <c r="G2081" s="8" t="s">
        <v>1314</v>
      </c>
      <c r="H2081" s="8" t="s">
        <v>1315</v>
      </c>
      <c r="I2081" s="16" t="s">
        <v>296</v>
      </c>
      <c r="J2081" s="16">
        <v>16.784759000000001</v>
      </c>
      <c r="K2081" s="16">
        <v>-96.030815000000004</v>
      </c>
      <c r="L2081" s="16" t="str">
        <f>HYPERLINK("https://maps.google.com/?q=16.784759,-96.030815", "🔗 Ver Mapa")</f>
        <v>🔗 Ver Mapa</v>
      </c>
    </row>
    <row r="2082" spans="1:12" ht="43.5" x14ac:dyDescent="0.35">
      <c r="A2082" s="6" t="s">
        <v>4</v>
      </c>
      <c r="B2082" s="6" t="s">
        <v>17</v>
      </c>
      <c r="C2082" s="6" t="s">
        <v>1313</v>
      </c>
      <c r="D2082" s="11" t="s">
        <v>64</v>
      </c>
      <c r="E2082" s="17" t="s">
        <v>75</v>
      </c>
      <c r="F2082" s="17" t="s">
        <v>84</v>
      </c>
      <c r="G2082" s="11" t="s">
        <v>1314</v>
      </c>
      <c r="H2082" s="11" t="s">
        <v>1315</v>
      </c>
      <c r="I2082" s="17" t="s">
        <v>296</v>
      </c>
      <c r="J2082" s="17">
        <v>16.784942000000001</v>
      </c>
      <c r="K2082" s="17">
        <v>-96.030707000000007</v>
      </c>
      <c r="L2082" s="17" t="str">
        <f>HYPERLINK("https://maps.google.com/?q=16.784942,-96.030707", "🔗 Ver Mapa")</f>
        <v>🔗 Ver Mapa</v>
      </c>
    </row>
    <row r="2083" spans="1:12" ht="43.5" x14ac:dyDescent="0.35">
      <c r="A2083" s="5" t="s">
        <v>4</v>
      </c>
      <c r="B2083" s="5" t="s">
        <v>17</v>
      </c>
      <c r="C2083" s="5" t="s">
        <v>1313</v>
      </c>
      <c r="D2083" s="8" t="s">
        <v>64</v>
      </c>
      <c r="E2083" s="16" t="s">
        <v>75</v>
      </c>
      <c r="F2083" s="16" t="s">
        <v>84</v>
      </c>
      <c r="G2083" s="8" t="s">
        <v>1314</v>
      </c>
      <c r="H2083" s="8" t="s">
        <v>1315</v>
      </c>
      <c r="I2083" s="16" t="s">
        <v>296</v>
      </c>
      <c r="J2083" s="16">
        <v>16.784953000000002</v>
      </c>
      <c r="K2083" s="16">
        <v>-96.031102000000004</v>
      </c>
      <c r="L2083" s="16" t="str">
        <f>HYPERLINK("https://maps.google.com/?q=16.784953,-96.031102", "🔗 Ver Mapa")</f>
        <v>🔗 Ver Mapa</v>
      </c>
    </row>
    <row r="2084" spans="1:12" ht="43.5" x14ac:dyDescent="0.35">
      <c r="A2084" s="6" t="s">
        <v>4</v>
      </c>
      <c r="B2084" s="6" t="s">
        <v>17</v>
      </c>
      <c r="C2084" s="6" t="s">
        <v>1313</v>
      </c>
      <c r="D2084" s="11" t="s">
        <v>64</v>
      </c>
      <c r="E2084" s="17" t="s">
        <v>75</v>
      </c>
      <c r="F2084" s="17" t="s">
        <v>84</v>
      </c>
      <c r="G2084" s="11" t="s">
        <v>1314</v>
      </c>
      <c r="H2084" s="11" t="s">
        <v>1315</v>
      </c>
      <c r="I2084" s="17" t="s">
        <v>296</v>
      </c>
      <c r="J2084" s="17">
        <v>16.784993</v>
      </c>
      <c r="K2084" s="17">
        <v>-96.030792000000005</v>
      </c>
      <c r="L2084" s="17" t="str">
        <f>HYPERLINK("https://maps.google.com/?q=16.784993,-96.030792", "🔗 Ver Mapa")</f>
        <v>🔗 Ver Mapa</v>
      </c>
    </row>
    <row r="2085" spans="1:12" ht="43.5" x14ac:dyDescent="0.35">
      <c r="A2085" s="5" t="s">
        <v>4</v>
      </c>
      <c r="B2085" s="5" t="s">
        <v>17</v>
      </c>
      <c r="C2085" s="5" t="s">
        <v>1313</v>
      </c>
      <c r="D2085" s="8" t="s">
        <v>64</v>
      </c>
      <c r="E2085" s="16" t="s">
        <v>75</v>
      </c>
      <c r="F2085" s="16" t="s">
        <v>84</v>
      </c>
      <c r="G2085" s="8" t="s">
        <v>1314</v>
      </c>
      <c r="H2085" s="8" t="s">
        <v>1315</v>
      </c>
      <c r="I2085" s="16" t="s">
        <v>296</v>
      </c>
      <c r="J2085" s="16">
        <v>16.785150999999999</v>
      </c>
      <c r="K2085" s="16">
        <v>-96.030755999999997</v>
      </c>
      <c r="L2085" s="16" t="str">
        <f>HYPERLINK("https://maps.google.com/?q=16.785151,-96.030756", "🔗 Ver Mapa")</f>
        <v>🔗 Ver Mapa</v>
      </c>
    </row>
    <row r="2086" spans="1:12" ht="43.5" x14ac:dyDescent="0.35">
      <c r="A2086" s="6" t="s">
        <v>4</v>
      </c>
      <c r="B2086" s="6" t="s">
        <v>17</v>
      </c>
      <c r="C2086" s="6" t="s">
        <v>1313</v>
      </c>
      <c r="D2086" s="11" t="s">
        <v>64</v>
      </c>
      <c r="E2086" s="17" t="s">
        <v>75</v>
      </c>
      <c r="F2086" s="17" t="s">
        <v>84</v>
      </c>
      <c r="G2086" s="11" t="s">
        <v>1314</v>
      </c>
      <c r="H2086" s="11" t="s">
        <v>1315</v>
      </c>
      <c r="I2086" s="17" t="s">
        <v>296</v>
      </c>
      <c r="J2086" s="17">
        <v>16.785181000000001</v>
      </c>
      <c r="K2086" s="17">
        <v>-96.031131000000002</v>
      </c>
      <c r="L2086" s="17" t="str">
        <f>HYPERLINK("https://maps.google.com/?q=16.785181,-96.031131", "🔗 Ver Mapa")</f>
        <v>🔗 Ver Mapa</v>
      </c>
    </row>
    <row r="2087" spans="1:12" ht="43.5" x14ac:dyDescent="0.35">
      <c r="A2087" s="5" t="s">
        <v>4</v>
      </c>
      <c r="B2087" s="5" t="s">
        <v>17</v>
      </c>
      <c r="C2087" s="5" t="s">
        <v>1313</v>
      </c>
      <c r="D2087" s="8" t="s">
        <v>64</v>
      </c>
      <c r="E2087" s="16" t="s">
        <v>75</v>
      </c>
      <c r="F2087" s="16" t="s">
        <v>84</v>
      </c>
      <c r="G2087" s="8" t="s">
        <v>1314</v>
      </c>
      <c r="H2087" s="8" t="s">
        <v>1315</v>
      </c>
      <c r="I2087" s="16" t="s">
        <v>296</v>
      </c>
      <c r="J2087" s="16">
        <v>16.785266</v>
      </c>
      <c r="K2087" s="16">
        <v>-96.030760000000001</v>
      </c>
      <c r="L2087" s="16" t="str">
        <f>HYPERLINK("https://maps.google.com/?q=16.785266,-96.03076", "🔗 Ver Mapa")</f>
        <v>🔗 Ver Mapa</v>
      </c>
    </row>
    <row r="2088" spans="1:12" ht="43.5" x14ac:dyDescent="0.35">
      <c r="A2088" s="6" t="s">
        <v>4</v>
      </c>
      <c r="B2088" s="6" t="s">
        <v>17</v>
      </c>
      <c r="C2088" s="6" t="s">
        <v>1313</v>
      </c>
      <c r="D2088" s="11" t="s">
        <v>64</v>
      </c>
      <c r="E2088" s="17" t="s">
        <v>75</v>
      </c>
      <c r="F2088" s="17" t="s">
        <v>84</v>
      </c>
      <c r="G2088" s="11" t="s">
        <v>1314</v>
      </c>
      <c r="H2088" s="11" t="s">
        <v>1315</v>
      </c>
      <c r="I2088" s="17" t="s">
        <v>296</v>
      </c>
      <c r="J2088" s="17">
        <v>16.785357000000001</v>
      </c>
      <c r="K2088" s="17">
        <v>-96.031138999999996</v>
      </c>
      <c r="L2088" s="17" t="str">
        <f>HYPERLINK("https://maps.google.com/?q=16.785357,-96.031139", "🔗 Ver Mapa")</f>
        <v>🔗 Ver Mapa</v>
      </c>
    </row>
    <row r="2089" spans="1:12" ht="43.5" x14ac:dyDescent="0.35">
      <c r="A2089" s="5" t="s">
        <v>4</v>
      </c>
      <c r="B2089" s="5" t="s">
        <v>17</v>
      </c>
      <c r="C2089" s="5" t="s">
        <v>1313</v>
      </c>
      <c r="D2089" s="8" t="s">
        <v>64</v>
      </c>
      <c r="E2089" s="16" t="s">
        <v>75</v>
      </c>
      <c r="F2089" s="16" t="s">
        <v>84</v>
      </c>
      <c r="G2089" s="8" t="s">
        <v>1314</v>
      </c>
      <c r="H2089" s="8" t="s">
        <v>1315</v>
      </c>
      <c r="I2089" s="16" t="s">
        <v>296</v>
      </c>
      <c r="J2089" s="16">
        <v>16.785381999999998</v>
      </c>
      <c r="K2089" s="16">
        <v>-96.030704</v>
      </c>
      <c r="L2089" s="16" t="str">
        <f>HYPERLINK("https://maps.google.com/?q=16.785382,-96.030704", "🔗 Ver Mapa")</f>
        <v>🔗 Ver Mapa</v>
      </c>
    </row>
    <row r="2090" spans="1:12" ht="43.5" x14ac:dyDescent="0.35">
      <c r="A2090" s="6" t="s">
        <v>4</v>
      </c>
      <c r="B2090" s="6" t="s">
        <v>17</v>
      </c>
      <c r="C2090" s="6" t="s">
        <v>1313</v>
      </c>
      <c r="D2090" s="11" t="s">
        <v>64</v>
      </c>
      <c r="E2090" s="17" t="s">
        <v>75</v>
      </c>
      <c r="F2090" s="17" t="s">
        <v>84</v>
      </c>
      <c r="G2090" s="11" t="s">
        <v>1314</v>
      </c>
      <c r="H2090" s="11" t="s">
        <v>1315</v>
      </c>
      <c r="I2090" s="17" t="s">
        <v>296</v>
      </c>
      <c r="J2090" s="17">
        <v>16.785592999999999</v>
      </c>
      <c r="K2090" s="17">
        <v>-96.030602000000002</v>
      </c>
      <c r="L2090" s="17" t="str">
        <f>HYPERLINK("https://maps.google.com/?q=16.785593,-96.030602", "🔗 Ver Mapa")</f>
        <v>🔗 Ver Mapa</v>
      </c>
    </row>
    <row r="2091" spans="1:12" ht="43.5" x14ac:dyDescent="0.35">
      <c r="A2091" s="5" t="s">
        <v>4</v>
      </c>
      <c r="B2091" s="5" t="s">
        <v>17</v>
      </c>
      <c r="C2091" s="5" t="s">
        <v>1313</v>
      </c>
      <c r="D2091" s="8" t="s">
        <v>64</v>
      </c>
      <c r="E2091" s="16" t="s">
        <v>75</v>
      </c>
      <c r="F2091" s="16" t="s">
        <v>84</v>
      </c>
      <c r="G2091" s="8" t="s">
        <v>1314</v>
      </c>
      <c r="H2091" s="8" t="s">
        <v>1315</v>
      </c>
      <c r="I2091" s="16" t="s">
        <v>296</v>
      </c>
      <c r="J2091" s="16">
        <v>16.785844000000001</v>
      </c>
      <c r="K2091" s="16">
        <v>-96.030590000000004</v>
      </c>
      <c r="L2091" s="16" t="str">
        <f>HYPERLINK("https://maps.google.com/?q=16.785844,-96.03059", "🔗 Ver Mapa")</f>
        <v>🔗 Ver Mapa</v>
      </c>
    </row>
    <row r="2092" spans="1:12" ht="43.5" x14ac:dyDescent="0.35">
      <c r="A2092" s="6" t="s">
        <v>4</v>
      </c>
      <c r="B2092" s="6" t="s">
        <v>17</v>
      </c>
      <c r="C2092" s="6" t="s">
        <v>1313</v>
      </c>
      <c r="D2092" s="11" t="s">
        <v>64</v>
      </c>
      <c r="E2092" s="17" t="s">
        <v>75</v>
      </c>
      <c r="F2092" s="17" t="s">
        <v>84</v>
      </c>
      <c r="G2092" s="11" t="s">
        <v>1314</v>
      </c>
      <c r="H2092" s="11" t="s">
        <v>1315</v>
      </c>
      <c r="I2092" s="17" t="s">
        <v>296</v>
      </c>
      <c r="J2092" s="17">
        <v>16.785844999999998</v>
      </c>
      <c r="K2092" s="17">
        <v>-96.030467000000002</v>
      </c>
      <c r="L2092" s="17" t="str">
        <f>HYPERLINK("https://maps.google.com/?q=16.785845,-96.030467", "🔗 Ver Mapa")</f>
        <v>🔗 Ver Mapa</v>
      </c>
    </row>
    <row r="2093" spans="1:12" ht="43.5" x14ac:dyDescent="0.35">
      <c r="A2093" s="5" t="s">
        <v>4</v>
      </c>
      <c r="B2093" s="5" t="s">
        <v>17</v>
      </c>
      <c r="C2093" s="5" t="s">
        <v>1313</v>
      </c>
      <c r="D2093" s="8" t="s">
        <v>64</v>
      </c>
      <c r="E2093" s="16" t="s">
        <v>75</v>
      </c>
      <c r="F2093" s="16" t="s">
        <v>84</v>
      </c>
      <c r="G2093" s="8" t="s">
        <v>1314</v>
      </c>
      <c r="H2093" s="8" t="s">
        <v>1315</v>
      </c>
      <c r="I2093" s="16" t="s">
        <v>296</v>
      </c>
      <c r="J2093" s="16">
        <v>16.785969000000001</v>
      </c>
      <c r="K2093" s="16">
        <v>-96.030398000000005</v>
      </c>
      <c r="L2093" s="16" t="str">
        <f>HYPERLINK("https://maps.google.com/?q=16.785969,-96.030398", "🔗 Ver Mapa")</f>
        <v>🔗 Ver Mapa</v>
      </c>
    </row>
    <row r="2094" spans="1:12" ht="43.5" x14ac:dyDescent="0.35">
      <c r="A2094" s="6" t="s">
        <v>4</v>
      </c>
      <c r="B2094" s="6" t="s">
        <v>17</v>
      </c>
      <c r="C2094" s="6" t="s">
        <v>1313</v>
      </c>
      <c r="D2094" s="11" t="s">
        <v>64</v>
      </c>
      <c r="E2094" s="17" t="s">
        <v>75</v>
      </c>
      <c r="F2094" s="17" t="s">
        <v>84</v>
      </c>
      <c r="G2094" s="11" t="s">
        <v>1314</v>
      </c>
      <c r="H2094" s="11" t="s">
        <v>1315</v>
      </c>
      <c r="I2094" s="17" t="s">
        <v>296</v>
      </c>
      <c r="J2094" s="17">
        <v>16.785989000000001</v>
      </c>
      <c r="K2094" s="17">
        <v>-96.030567000000005</v>
      </c>
      <c r="L2094" s="17" t="str">
        <f>HYPERLINK("https://maps.google.com/?q=16.785989,-96.030567", "🔗 Ver Mapa")</f>
        <v>🔗 Ver Mapa</v>
      </c>
    </row>
    <row r="2095" spans="1:12" ht="43.5" x14ac:dyDescent="0.35">
      <c r="A2095" s="5" t="s">
        <v>4</v>
      </c>
      <c r="B2095" s="5" t="s">
        <v>17</v>
      </c>
      <c r="C2095" s="5" t="s">
        <v>1313</v>
      </c>
      <c r="D2095" s="8" t="s">
        <v>64</v>
      </c>
      <c r="E2095" s="16" t="s">
        <v>75</v>
      </c>
      <c r="F2095" s="16" t="s">
        <v>84</v>
      </c>
      <c r="G2095" s="8" t="s">
        <v>1314</v>
      </c>
      <c r="H2095" s="8" t="s">
        <v>1315</v>
      </c>
      <c r="I2095" s="16" t="s">
        <v>296</v>
      </c>
      <c r="J2095" s="16">
        <v>16.786183000000001</v>
      </c>
      <c r="K2095" s="16">
        <v>-96.030007999999995</v>
      </c>
      <c r="L2095" s="16" t="str">
        <f>HYPERLINK("https://maps.google.com/?q=16.786183,-96.030008", "🔗 Ver Mapa")</f>
        <v>🔗 Ver Mapa</v>
      </c>
    </row>
    <row r="2096" spans="1:12" ht="43.5" x14ac:dyDescent="0.35">
      <c r="A2096" s="6" t="s">
        <v>4</v>
      </c>
      <c r="B2096" s="6" t="s">
        <v>17</v>
      </c>
      <c r="C2096" s="6" t="s">
        <v>1313</v>
      </c>
      <c r="D2096" s="11" t="s">
        <v>64</v>
      </c>
      <c r="E2096" s="17" t="s">
        <v>75</v>
      </c>
      <c r="F2096" s="17" t="s">
        <v>84</v>
      </c>
      <c r="G2096" s="11" t="s">
        <v>1314</v>
      </c>
      <c r="H2096" s="11" t="s">
        <v>1315</v>
      </c>
      <c r="I2096" s="17" t="s">
        <v>296</v>
      </c>
      <c r="J2096" s="17">
        <v>16.786228999999999</v>
      </c>
      <c r="K2096" s="17">
        <v>-96.030724000000006</v>
      </c>
      <c r="L2096" s="17" t="str">
        <f>HYPERLINK("https://maps.google.com/?q=16.786229,-96.030724", "🔗 Ver Mapa")</f>
        <v>🔗 Ver Mapa</v>
      </c>
    </row>
    <row r="2097" spans="1:12" ht="43.5" x14ac:dyDescent="0.35">
      <c r="A2097" s="5" t="s">
        <v>4</v>
      </c>
      <c r="B2097" s="5" t="s">
        <v>17</v>
      </c>
      <c r="C2097" s="5" t="s">
        <v>1313</v>
      </c>
      <c r="D2097" s="8" t="s">
        <v>64</v>
      </c>
      <c r="E2097" s="16" t="s">
        <v>75</v>
      </c>
      <c r="F2097" s="16" t="s">
        <v>84</v>
      </c>
      <c r="G2097" s="8" t="s">
        <v>1314</v>
      </c>
      <c r="H2097" s="8" t="s">
        <v>1315</v>
      </c>
      <c r="I2097" s="16" t="s">
        <v>296</v>
      </c>
      <c r="J2097" s="16">
        <v>16.786328999999999</v>
      </c>
      <c r="K2097" s="16">
        <v>-96.029903000000004</v>
      </c>
      <c r="L2097" s="16" t="str">
        <f>HYPERLINK("https://maps.google.com/?q=16.786329,-96.029903", "🔗 Ver Mapa")</f>
        <v>🔗 Ver Mapa</v>
      </c>
    </row>
    <row r="2098" spans="1:12" ht="43.5" x14ac:dyDescent="0.35">
      <c r="A2098" s="6" t="s">
        <v>1</v>
      </c>
      <c r="B2098" s="6" t="s">
        <v>14</v>
      </c>
      <c r="C2098" s="6" t="s">
        <v>1316</v>
      </c>
      <c r="D2098" s="11" t="s">
        <v>61</v>
      </c>
      <c r="E2098" s="17" t="s">
        <v>287</v>
      </c>
      <c r="F2098" s="17" t="s">
        <v>622</v>
      </c>
      <c r="G2098" s="11" t="s">
        <v>1317</v>
      </c>
      <c r="H2098" s="11" t="s">
        <v>1318</v>
      </c>
      <c r="I2098" s="17" t="s">
        <v>138</v>
      </c>
      <c r="J2098" s="17">
        <v>17.508647</v>
      </c>
      <c r="K2098" s="17">
        <v>-95.854515000000006</v>
      </c>
      <c r="L2098" s="17" t="str">
        <f>HYPERLINK("https://maps.google.com/?q=17.508647,-95.854515", "🔗 Ver Mapa")</f>
        <v>🔗 Ver Mapa</v>
      </c>
    </row>
    <row r="2099" spans="1:12" ht="43.5" x14ac:dyDescent="0.35">
      <c r="A2099" s="5" t="s">
        <v>4</v>
      </c>
      <c r="B2099" s="5" t="s">
        <v>17</v>
      </c>
      <c r="C2099" s="5" t="s">
        <v>1319</v>
      </c>
      <c r="D2099" s="8" t="s">
        <v>64</v>
      </c>
      <c r="E2099" s="16" t="s">
        <v>75</v>
      </c>
      <c r="F2099" s="16" t="s">
        <v>84</v>
      </c>
      <c r="G2099" s="8" t="s">
        <v>772</v>
      </c>
      <c r="H2099" s="8" t="s">
        <v>773</v>
      </c>
      <c r="I2099" s="16" t="s">
        <v>296</v>
      </c>
      <c r="J2099" s="16">
        <v>16.923116997145002</v>
      </c>
      <c r="K2099" s="16">
        <v>-96.604572975579998</v>
      </c>
      <c r="L2099" s="16" t="str">
        <f>HYPERLINK("https://maps.google.com/?q=16.923116997145,-96.60457297558", "🔗 Ver Mapa")</f>
        <v>🔗 Ver Mapa</v>
      </c>
    </row>
    <row r="2100" spans="1:12" ht="43.5" x14ac:dyDescent="0.35">
      <c r="A2100" s="6" t="s">
        <v>4</v>
      </c>
      <c r="B2100" s="6" t="s">
        <v>17</v>
      </c>
      <c r="C2100" s="6" t="s">
        <v>1319</v>
      </c>
      <c r="D2100" s="11" t="s">
        <v>64</v>
      </c>
      <c r="E2100" s="17" t="s">
        <v>75</v>
      </c>
      <c r="F2100" s="17" t="s">
        <v>84</v>
      </c>
      <c r="G2100" s="11" t="s">
        <v>772</v>
      </c>
      <c r="H2100" s="11" t="s">
        <v>773</v>
      </c>
      <c r="I2100" s="17" t="s">
        <v>296</v>
      </c>
      <c r="J2100" s="17">
        <v>16.923562652194999</v>
      </c>
      <c r="K2100" s="17">
        <v>-96.606578310911999</v>
      </c>
      <c r="L2100" s="17" t="str">
        <f>HYPERLINK("https://maps.google.com/?q=16.923562652195,-96.606578310912", "🔗 Ver Mapa")</f>
        <v>🔗 Ver Mapa</v>
      </c>
    </row>
    <row r="2101" spans="1:12" ht="43.5" x14ac:dyDescent="0.35">
      <c r="A2101" s="5" t="s">
        <v>4</v>
      </c>
      <c r="B2101" s="5" t="s">
        <v>17</v>
      </c>
      <c r="C2101" s="5" t="s">
        <v>1319</v>
      </c>
      <c r="D2101" s="8" t="s">
        <v>64</v>
      </c>
      <c r="E2101" s="16" t="s">
        <v>75</v>
      </c>
      <c r="F2101" s="16" t="s">
        <v>84</v>
      </c>
      <c r="G2101" s="8" t="s">
        <v>772</v>
      </c>
      <c r="H2101" s="8" t="s">
        <v>773</v>
      </c>
      <c r="I2101" s="16" t="s">
        <v>296</v>
      </c>
      <c r="J2101" s="16">
        <v>16.924351399801999</v>
      </c>
      <c r="K2101" s="16">
        <v>-96.604181706290007</v>
      </c>
      <c r="L2101" s="16" t="str">
        <f>HYPERLINK("https://maps.google.com/?q=16.924351399802,-96.60418170629", "🔗 Ver Mapa")</f>
        <v>🔗 Ver Mapa</v>
      </c>
    </row>
    <row r="2102" spans="1:12" ht="43.5" x14ac:dyDescent="0.35">
      <c r="A2102" s="6" t="s">
        <v>4</v>
      </c>
      <c r="B2102" s="6" t="s">
        <v>17</v>
      </c>
      <c r="C2102" s="6" t="s">
        <v>1319</v>
      </c>
      <c r="D2102" s="11" t="s">
        <v>64</v>
      </c>
      <c r="E2102" s="17" t="s">
        <v>75</v>
      </c>
      <c r="F2102" s="17" t="s">
        <v>84</v>
      </c>
      <c r="G2102" s="11" t="s">
        <v>772</v>
      </c>
      <c r="H2102" s="11" t="s">
        <v>773</v>
      </c>
      <c r="I2102" s="17" t="s">
        <v>296</v>
      </c>
      <c r="J2102" s="17">
        <v>16.924353744885</v>
      </c>
      <c r="K2102" s="17">
        <v>-96.603945351380005</v>
      </c>
      <c r="L2102" s="17" t="str">
        <f>HYPERLINK("https://maps.google.com/?q=16.924353744885,-96.60394535138", "🔗 Ver Mapa")</f>
        <v>🔗 Ver Mapa</v>
      </c>
    </row>
    <row r="2103" spans="1:12" ht="43.5" x14ac:dyDescent="0.35">
      <c r="A2103" s="5" t="s">
        <v>4</v>
      </c>
      <c r="B2103" s="5" t="s">
        <v>17</v>
      </c>
      <c r="C2103" s="5" t="s">
        <v>1319</v>
      </c>
      <c r="D2103" s="8" t="s">
        <v>64</v>
      </c>
      <c r="E2103" s="16" t="s">
        <v>75</v>
      </c>
      <c r="F2103" s="16" t="s">
        <v>84</v>
      </c>
      <c r="G2103" s="8" t="s">
        <v>772</v>
      </c>
      <c r="H2103" s="8" t="s">
        <v>773</v>
      </c>
      <c r="I2103" s="16" t="s">
        <v>296</v>
      </c>
      <c r="J2103" s="16">
        <v>16.924438272827</v>
      </c>
      <c r="K2103" s="16">
        <v>-96.604528732274005</v>
      </c>
      <c r="L2103" s="16" t="str">
        <f>HYPERLINK("https://maps.google.com/?q=16.924438272827,-96.604528732274", "🔗 Ver Mapa")</f>
        <v>🔗 Ver Mapa</v>
      </c>
    </row>
    <row r="2104" spans="1:12" ht="43.5" x14ac:dyDescent="0.35">
      <c r="A2104" s="6" t="s">
        <v>4</v>
      </c>
      <c r="B2104" s="6" t="s">
        <v>17</v>
      </c>
      <c r="C2104" s="6" t="s">
        <v>1319</v>
      </c>
      <c r="D2104" s="11" t="s">
        <v>64</v>
      </c>
      <c r="E2104" s="17" t="s">
        <v>75</v>
      </c>
      <c r="F2104" s="17" t="s">
        <v>84</v>
      </c>
      <c r="G2104" s="11" t="s">
        <v>772</v>
      </c>
      <c r="H2104" s="11" t="s">
        <v>773</v>
      </c>
      <c r="I2104" s="17" t="s">
        <v>296</v>
      </c>
      <c r="J2104" s="17">
        <v>16.924570044562</v>
      </c>
      <c r="K2104" s="17">
        <v>-96.604937855637004</v>
      </c>
      <c r="L2104" s="17" t="str">
        <f>HYPERLINK("https://maps.google.com/?q=16.924570044562,-96.604937855637", "🔗 Ver Mapa")</f>
        <v>🔗 Ver Mapa</v>
      </c>
    </row>
    <row r="2105" spans="1:12" ht="43.5" x14ac:dyDescent="0.35">
      <c r="A2105" s="5" t="s">
        <v>4</v>
      </c>
      <c r="B2105" s="5" t="s">
        <v>17</v>
      </c>
      <c r="C2105" s="5" t="s">
        <v>1319</v>
      </c>
      <c r="D2105" s="8" t="s">
        <v>64</v>
      </c>
      <c r="E2105" s="16" t="s">
        <v>75</v>
      </c>
      <c r="F2105" s="16" t="s">
        <v>84</v>
      </c>
      <c r="G2105" s="8" t="s">
        <v>772</v>
      </c>
      <c r="H2105" s="8" t="s">
        <v>773</v>
      </c>
      <c r="I2105" s="16" t="s">
        <v>296</v>
      </c>
      <c r="J2105" s="16">
        <v>16.924876305036999</v>
      </c>
      <c r="K2105" s="16">
        <v>-96.605260310397995</v>
      </c>
      <c r="L2105" s="16" t="str">
        <f>HYPERLINK("https://maps.google.com/?q=16.924876305037,-96.605260310398", "🔗 Ver Mapa")</f>
        <v>🔗 Ver Mapa</v>
      </c>
    </row>
    <row r="2106" spans="1:12" ht="43.5" x14ac:dyDescent="0.35">
      <c r="A2106" s="6" t="s">
        <v>4</v>
      </c>
      <c r="B2106" s="6" t="s">
        <v>17</v>
      </c>
      <c r="C2106" s="6" t="s">
        <v>1319</v>
      </c>
      <c r="D2106" s="11" t="s">
        <v>64</v>
      </c>
      <c r="E2106" s="17" t="s">
        <v>75</v>
      </c>
      <c r="F2106" s="17" t="s">
        <v>84</v>
      </c>
      <c r="G2106" s="11" t="s">
        <v>772</v>
      </c>
      <c r="H2106" s="11" t="s">
        <v>773</v>
      </c>
      <c r="I2106" s="17" t="s">
        <v>296</v>
      </c>
      <c r="J2106" s="17">
        <v>16.925116802598001</v>
      </c>
      <c r="K2106" s="17">
        <v>-96.605680022334994</v>
      </c>
      <c r="L2106" s="17" t="str">
        <f>HYPERLINK("https://maps.google.com/?q=16.925116802598,-96.605680022335", "🔗 Ver Mapa")</f>
        <v>🔗 Ver Mapa</v>
      </c>
    </row>
    <row r="2107" spans="1:12" ht="43.5" x14ac:dyDescent="0.35">
      <c r="A2107" s="5" t="s">
        <v>4</v>
      </c>
      <c r="B2107" s="5" t="s">
        <v>17</v>
      </c>
      <c r="C2107" s="5" t="s">
        <v>1319</v>
      </c>
      <c r="D2107" s="8" t="s">
        <v>64</v>
      </c>
      <c r="E2107" s="16" t="s">
        <v>75</v>
      </c>
      <c r="F2107" s="16" t="s">
        <v>84</v>
      </c>
      <c r="G2107" s="8" t="s">
        <v>772</v>
      </c>
      <c r="H2107" s="8" t="s">
        <v>773</v>
      </c>
      <c r="I2107" s="16" t="s">
        <v>296</v>
      </c>
      <c r="J2107" s="16">
        <v>16.925240692429</v>
      </c>
      <c r="K2107" s="16">
        <v>-96.606157353979</v>
      </c>
      <c r="L2107" s="16" t="str">
        <f>HYPERLINK("https://maps.google.com/?q=16.925240692429,-96.606157353979", "🔗 Ver Mapa")</f>
        <v>🔗 Ver Mapa</v>
      </c>
    </row>
    <row r="2108" spans="1:12" ht="43.5" x14ac:dyDescent="0.35">
      <c r="A2108" s="6" t="s">
        <v>4</v>
      </c>
      <c r="B2108" s="6" t="s">
        <v>17</v>
      </c>
      <c r="C2108" s="6" t="s">
        <v>1319</v>
      </c>
      <c r="D2108" s="11" t="s">
        <v>64</v>
      </c>
      <c r="E2108" s="17" t="s">
        <v>75</v>
      </c>
      <c r="F2108" s="17" t="s">
        <v>84</v>
      </c>
      <c r="G2108" s="11" t="s">
        <v>772</v>
      </c>
      <c r="H2108" s="11" t="s">
        <v>773</v>
      </c>
      <c r="I2108" s="17" t="s">
        <v>296</v>
      </c>
      <c r="J2108" s="17">
        <v>16.926300256343001</v>
      </c>
      <c r="K2108" s="17">
        <v>-96.604263082453997</v>
      </c>
      <c r="L2108" s="17" t="str">
        <f>HYPERLINK("https://maps.google.com/?q=16.926300256343,-96.604263082454", "🔗 Ver Mapa")</f>
        <v>🔗 Ver Mapa</v>
      </c>
    </row>
    <row r="2109" spans="1:12" ht="43.5" x14ac:dyDescent="0.35">
      <c r="A2109" s="5" t="s">
        <v>4</v>
      </c>
      <c r="B2109" s="5" t="s">
        <v>17</v>
      </c>
      <c r="C2109" s="5" t="s">
        <v>1319</v>
      </c>
      <c r="D2109" s="8" t="s">
        <v>64</v>
      </c>
      <c r="E2109" s="16" t="s">
        <v>75</v>
      </c>
      <c r="F2109" s="16" t="s">
        <v>84</v>
      </c>
      <c r="G2109" s="8" t="s">
        <v>772</v>
      </c>
      <c r="H2109" s="8" t="s">
        <v>773</v>
      </c>
      <c r="I2109" s="16" t="s">
        <v>296</v>
      </c>
      <c r="J2109" s="16">
        <v>16.926487313437999</v>
      </c>
      <c r="K2109" s="16">
        <v>-96.605010541078997</v>
      </c>
      <c r="L2109" s="16" t="str">
        <f>HYPERLINK("https://maps.google.com/?q=16.926487313438,-96.605010541079", "🔗 Ver Mapa")</f>
        <v>🔗 Ver Mapa</v>
      </c>
    </row>
    <row r="2110" spans="1:12" ht="43.5" x14ac:dyDescent="0.35">
      <c r="A2110" s="6" t="s">
        <v>4</v>
      </c>
      <c r="B2110" s="6" t="s">
        <v>17</v>
      </c>
      <c r="C2110" s="6" t="s">
        <v>1319</v>
      </c>
      <c r="D2110" s="11" t="s">
        <v>64</v>
      </c>
      <c r="E2110" s="17" t="s">
        <v>75</v>
      </c>
      <c r="F2110" s="17" t="s">
        <v>84</v>
      </c>
      <c r="G2110" s="11" t="s">
        <v>772</v>
      </c>
      <c r="H2110" s="11" t="s">
        <v>773</v>
      </c>
      <c r="I2110" s="17" t="s">
        <v>296</v>
      </c>
      <c r="J2110" s="17">
        <v>16.927302316228001</v>
      </c>
      <c r="K2110" s="17">
        <v>-96.601681852449005</v>
      </c>
      <c r="L2110" s="17" t="str">
        <f>HYPERLINK("https://maps.google.com/?q=16.927302316228,-96.601681852449", "🔗 Ver Mapa")</f>
        <v>🔗 Ver Mapa</v>
      </c>
    </row>
    <row r="2111" spans="1:12" ht="43.5" x14ac:dyDescent="0.35">
      <c r="A2111" s="5" t="s">
        <v>4</v>
      </c>
      <c r="B2111" s="5" t="s">
        <v>17</v>
      </c>
      <c r="C2111" s="5" t="s">
        <v>1319</v>
      </c>
      <c r="D2111" s="8" t="s">
        <v>64</v>
      </c>
      <c r="E2111" s="16" t="s">
        <v>75</v>
      </c>
      <c r="F2111" s="16" t="s">
        <v>84</v>
      </c>
      <c r="G2111" s="8" t="s">
        <v>772</v>
      </c>
      <c r="H2111" s="8" t="s">
        <v>773</v>
      </c>
      <c r="I2111" s="16" t="s">
        <v>296</v>
      </c>
      <c r="J2111" s="16">
        <v>16.927842205287</v>
      </c>
      <c r="K2111" s="16">
        <v>-96.601528006029</v>
      </c>
      <c r="L2111" s="16" t="str">
        <f>HYPERLINK("https://maps.google.com/?q=16.927842205287,-96.601528006029", "🔗 Ver Mapa")</f>
        <v>🔗 Ver Mapa</v>
      </c>
    </row>
    <row r="2112" spans="1:12" ht="43.5" x14ac:dyDescent="0.35">
      <c r="A2112" s="6" t="s">
        <v>4</v>
      </c>
      <c r="B2112" s="6" t="s">
        <v>17</v>
      </c>
      <c r="C2112" s="6" t="s">
        <v>1319</v>
      </c>
      <c r="D2112" s="11" t="s">
        <v>64</v>
      </c>
      <c r="E2112" s="17" t="s">
        <v>75</v>
      </c>
      <c r="F2112" s="17" t="s">
        <v>84</v>
      </c>
      <c r="G2112" s="11" t="s">
        <v>772</v>
      </c>
      <c r="H2112" s="11" t="s">
        <v>773</v>
      </c>
      <c r="I2112" s="17" t="s">
        <v>296</v>
      </c>
      <c r="J2112" s="17">
        <v>16.927853998913001</v>
      </c>
      <c r="K2112" s="17">
        <v>-96.601565645899001</v>
      </c>
      <c r="L2112" s="17" t="str">
        <f>HYPERLINK("https://maps.google.com/?q=16.927853998913,-96.601565645899", "🔗 Ver Mapa")</f>
        <v>🔗 Ver Mapa</v>
      </c>
    </row>
    <row r="2113" spans="1:12" ht="43.5" x14ac:dyDescent="0.35">
      <c r="A2113" s="5" t="s">
        <v>4</v>
      </c>
      <c r="B2113" s="5" t="s">
        <v>17</v>
      </c>
      <c r="C2113" s="5" t="s">
        <v>1319</v>
      </c>
      <c r="D2113" s="8" t="s">
        <v>64</v>
      </c>
      <c r="E2113" s="16" t="s">
        <v>75</v>
      </c>
      <c r="F2113" s="16" t="s">
        <v>84</v>
      </c>
      <c r="G2113" s="8" t="s">
        <v>772</v>
      </c>
      <c r="H2113" s="8" t="s">
        <v>773</v>
      </c>
      <c r="I2113" s="16" t="s">
        <v>296</v>
      </c>
      <c r="J2113" s="16">
        <v>16.928051928363999</v>
      </c>
      <c r="K2113" s="16">
        <v>-96.601999307588002</v>
      </c>
      <c r="L2113" s="16" t="str">
        <f>HYPERLINK("https://maps.google.com/?q=16.928051928364,-96.601999307588", "🔗 Ver Mapa")</f>
        <v>🔗 Ver Mapa</v>
      </c>
    </row>
    <row r="2114" spans="1:12" ht="43.5" x14ac:dyDescent="0.35">
      <c r="A2114" s="6" t="s">
        <v>4</v>
      </c>
      <c r="B2114" s="6" t="s">
        <v>17</v>
      </c>
      <c r="C2114" s="6" t="s">
        <v>1319</v>
      </c>
      <c r="D2114" s="11" t="s">
        <v>64</v>
      </c>
      <c r="E2114" s="17" t="s">
        <v>75</v>
      </c>
      <c r="F2114" s="17" t="s">
        <v>84</v>
      </c>
      <c r="G2114" s="11" t="s">
        <v>772</v>
      </c>
      <c r="H2114" s="11" t="s">
        <v>773</v>
      </c>
      <c r="I2114" s="17" t="s">
        <v>296</v>
      </c>
      <c r="J2114" s="17">
        <v>16.928117586294999</v>
      </c>
      <c r="K2114" s="17">
        <v>-96.604556125510001</v>
      </c>
      <c r="L2114" s="17" t="str">
        <f>HYPERLINK("https://maps.google.com/?q=16.928117586295,-96.60455612551", "🔗 Ver Mapa")</f>
        <v>🔗 Ver Mapa</v>
      </c>
    </row>
    <row r="2115" spans="1:12" ht="43.5" x14ac:dyDescent="0.35">
      <c r="A2115" s="5" t="s">
        <v>4</v>
      </c>
      <c r="B2115" s="5" t="s">
        <v>17</v>
      </c>
      <c r="C2115" s="5" t="s">
        <v>1319</v>
      </c>
      <c r="D2115" s="8" t="s">
        <v>64</v>
      </c>
      <c r="E2115" s="16" t="s">
        <v>75</v>
      </c>
      <c r="F2115" s="16" t="s">
        <v>84</v>
      </c>
      <c r="G2115" s="8" t="s">
        <v>772</v>
      </c>
      <c r="H2115" s="8" t="s">
        <v>773</v>
      </c>
      <c r="I2115" s="16" t="s">
        <v>296</v>
      </c>
      <c r="J2115" s="16">
        <v>16.928262388654002</v>
      </c>
      <c r="K2115" s="16">
        <v>-96.605596696231999</v>
      </c>
      <c r="L2115" s="16" t="str">
        <f>HYPERLINK("https://maps.google.com/?q=16.928262388654,-96.605596696232", "🔗 Ver Mapa")</f>
        <v>🔗 Ver Mapa</v>
      </c>
    </row>
    <row r="2116" spans="1:12" ht="43.5" x14ac:dyDescent="0.35">
      <c r="A2116" s="6" t="s">
        <v>4</v>
      </c>
      <c r="B2116" s="6" t="s">
        <v>17</v>
      </c>
      <c r="C2116" s="6" t="s">
        <v>1319</v>
      </c>
      <c r="D2116" s="11" t="s">
        <v>64</v>
      </c>
      <c r="E2116" s="17" t="s">
        <v>75</v>
      </c>
      <c r="F2116" s="17" t="s">
        <v>84</v>
      </c>
      <c r="G2116" s="11" t="s">
        <v>772</v>
      </c>
      <c r="H2116" s="11" t="s">
        <v>773</v>
      </c>
      <c r="I2116" s="17" t="s">
        <v>296</v>
      </c>
      <c r="J2116" s="17">
        <v>16.928471642832999</v>
      </c>
      <c r="K2116" s="17">
        <v>-96.601926889553994</v>
      </c>
      <c r="L2116" s="17" t="str">
        <f>HYPERLINK("https://maps.google.com/?q=16.928471642833,-96.601926889554", "🔗 Ver Mapa")</f>
        <v>🔗 Ver Mapa</v>
      </c>
    </row>
    <row r="2117" spans="1:12" ht="43.5" x14ac:dyDescent="0.35">
      <c r="A2117" s="5" t="s">
        <v>4</v>
      </c>
      <c r="B2117" s="5" t="s">
        <v>17</v>
      </c>
      <c r="C2117" s="5" t="s">
        <v>1319</v>
      </c>
      <c r="D2117" s="8" t="s">
        <v>64</v>
      </c>
      <c r="E2117" s="16" t="s">
        <v>75</v>
      </c>
      <c r="F2117" s="16" t="s">
        <v>84</v>
      </c>
      <c r="G2117" s="8" t="s">
        <v>772</v>
      </c>
      <c r="H2117" s="8" t="s">
        <v>773</v>
      </c>
      <c r="I2117" s="16" t="s">
        <v>296</v>
      </c>
      <c r="J2117" s="16">
        <v>16.928481908963001</v>
      </c>
      <c r="K2117" s="16">
        <v>-96.606645837337993</v>
      </c>
      <c r="L2117" s="16" t="str">
        <f>HYPERLINK("https://maps.google.com/?q=16.928481908963,-96.606645837338", "🔗 Ver Mapa")</f>
        <v>🔗 Ver Mapa</v>
      </c>
    </row>
    <row r="2118" spans="1:12" ht="43.5" x14ac:dyDescent="0.35">
      <c r="A2118" s="6" t="s">
        <v>4</v>
      </c>
      <c r="B2118" s="6" t="s">
        <v>17</v>
      </c>
      <c r="C2118" s="6" t="s">
        <v>1319</v>
      </c>
      <c r="D2118" s="11" t="s">
        <v>64</v>
      </c>
      <c r="E2118" s="17" t="s">
        <v>75</v>
      </c>
      <c r="F2118" s="17" t="s">
        <v>84</v>
      </c>
      <c r="G2118" s="11" t="s">
        <v>772</v>
      </c>
      <c r="H2118" s="11" t="s">
        <v>773</v>
      </c>
      <c r="I2118" s="17" t="s">
        <v>296</v>
      </c>
      <c r="J2118" s="17">
        <v>16.928712784921</v>
      </c>
      <c r="K2118" s="17">
        <v>-96.602970788974005</v>
      </c>
      <c r="L2118" s="17" t="str">
        <f>HYPERLINK("https://maps.google.com/?q=16.928712784921,-96.602970788974", "🔗 Ver Mapa")</f>
        <v>🔗 Ver Mapa</v>
      </c>
    </row>
    <row r="2119" spans="1:12" ht="43.5" x14ac:dyDescent="0.35">
      <c r="A2119" s="5" t="s">
        <v>4</v>
      </c>
      <c r="B2119" s="5" t="s">
        <v>17</v>
      </c>
      <c r="C2119" s="5" t="s">
        <v>1319</v>
      </c>
      <c r="D2119" s="8" t="s">
        <v>64</v>
      </c>
      <c r="E2119" s="16" t="s">
        <v>75</v>
      </c>
      <c r="F2119" s="16" t="s">
        <v>84</v>
      </c>
      <c r="G2119" s="8" t="s">
        <v>772</v>
      </c>
      <c r="H2119" s="8" t="s">
        <v>773</v>
      </c>
      <c r="I2119" s="16" t="s">
        <v>296</v>
      </c>
      <c r="J2119" s="16">
        <v>16.928719299245</v>
      </c>
      <c r="K2119" s="16">
        <v>-96.607616881997998</v>
      </c>
      <c r="L2119" s="16" t="str">
        <f>HYPERLINK("https://maps.google.com/?q=16.928719299245,-96.607616881998", "🔗 Ver Mapa")</f>
        <v>🔗 Ver Mapa</v>
      </c>
    </row>
    <row r="2120" spans="1:12" ht="43.5" x14ac:dyDescent="0.35">
      <c r="A2120" s="6" t="s">
        <v>4</v>
      </c>
      <c r="B2120" s="6" t="s">
        <v>17</v>
      </c>
      <c r="C2120" s="6" t="s">
        <v>1319</v>
      </c>
      <c r="D2120" s="11" t="s">
        <v>64</v>
      </c>
      <c r="E2120" s="17" t="s">
        <v>75</v>
      </c>
      <c r="F2120" s="17" t="s">
        <v>84</v>
      </c>
      <c r="G2120" s="11" t="s">
        <v>772</v>
      </c>
      <c r="H2120" s="11" t="s">
        <v>773</v>
      </c>
      <c r="I2120" s="17" t="s">
        <v>296</v>
      </c>
      <c r="J2120" s="17">
        <v>16.928743433533999</v>
      </c>
      <c r="K2120" s="17">
        <v>-96.601826204765004</v>
      </c>
      <c r="L2120" s="17" t="str">
        <f>HYPERLINK("https://maps.google.com/?q=16.928743433534,-96.601826204765", "🔗 Ver Mapa")</f>
        <v>🔗 Ver Mapa</v>
      </c>
    </row>
    <row r="2121" spans="1:12" ht="43.5" x14ac:dyDescent="0.35">
      <c r="A2121" s="5" t="s">
        <v>4</v>
      </c>
      <c r="B2121" s="5" t="s">
        <v>17</v>
      </c>
      <c r="C2121" s="5" t="s">
        <v>1319</v>
      </c>
      <c r="D2121" s="8" t="s">
        <v>64</v>
      </c>
      <c r="E2121" s="16" t="s">
        <v>75</v>
      </c>
      <c r="F2121" s="16" t="s">
        <v>84</v>
      </c>
      <c r="G2121" s="8" t="s">
        <v>772</v>
      </c>
      <c r="H2121" s="8" t="s">
        <v>773</v>
      </c>
      <c r="I2121" s="16" t="s">
        <v>296</v>
      </c>
      <c r="J2121" s="16">
        <v>16.928911503622</v>
      </c>
      <c r="K2121" s="16">
        <v>-96.608462594054998</v>
      </c>
      <c r="L2121" s="16" t="str">
        <f>HYPERLINK("https://maps.google.com/?q=16.928911503622,-96.608462594055", "🔗 Ver Mapa")</f>
        <v>🔗 Ver Mapa</v>
      </c>
    </row>
    <row r="2122" spans="1:12" ht="43.5" x14ac:dyDescent="0.35">
      <c r="A2122" s="6" t="s">
        <v>4</v>
      </c>
      <c r="B2122" s="6" t="s">
        <v>17</v>
      </c>
      <c r="C2122" s="6" t="s">
        <v>1319</v>
      </c>
      <c r="D2122" s="11" t="s">
        <v>64</v>
      </c>
      <c r="E2122" s="17" t="s">
        <v>75</v>
      </c>
      <c r="F2122" s="17" t="s">
        <v>84</v>
      </c>
      <c r="G2122" s="11" t="s">
        <v>772</v>
      </c>
      <c r="H2122" s="11" t="s">
        <v>773</v>
      </c>
      <c r="I2122" s="17" t="s">
        <v>296</v>
      </c>
      <c r="J2122" s="17">
        <v>16.92906692959</v>
      </c>
      <c r="K2122" s="17">
        <v>-96.604325662460994</v>
      </c>
      <c r="L2122" s="17" t="str">
        <f>HYPERLINK("https://maps.google.com/?q=16.92906692959,-96.604325662461", "🔗 Ver Mapa")</f>
        <v>🔗 Ver Mapa</v>
      </c>
    </row>
    <row r="2123" spans="1:12" ht="43.5" x14ac:dyDescent="0.35">
      <c r="A2123" s="5" t="s">
        <v>4</v>
      </c>
      <c r="B2123" s="5" t="s">
        <v>17</v>
      </c>
      <c r="C2123" s="5" t="s">
        <v>1319</v>
      </c>
      <c r="D2123" s="8" t="s">
        <v>64</v>
      </c>
      <c r="E2123" s="16" t="s">
        <v>75</v>
      </c>
      <c r="F2123" s="16" t="s">
        <v>84</v>
      </c>
      <c r="G2123" s="8" t="s">
        <v>772</v>
      </c>
      <c r="H2123" s="8" t="s">
        <v>773</v>
      </c>
      <c r="I2123" s="16" t="s">
        <v>296</v>
      </c>
      <c r="J2123" s="16">
        <v>16.929083640194001</v>
      </c>
      <c r="K2123" s="16">
        <v>-96.609242435084994</v>
      </c>
      <c r="L2123" s="16" t="str">
        <f>HYPERLINK("https://maps.google.com/?q=16.929083640194,-96.609242435085", "🔗 Ver Mapa")</f>
        <v>🔗 Ver Mapa</v>
      </c>
    </row>
    <row r="2124" spans="1:12" ht="43.5" x14ac:dyDescent="0.35">
      <c r="A2124" s="6" t="s">
        <v>4</v>
      </c>
      <c r="B2124" s="6" t="s">
        <v>17</v>
      </c>
      <c r="C2124" s="6" t="s">
        <v>1319</v>
      </c>
      <c r="D2124" s="11" t="s">
        <v>64</v>
      </c>
      <c r="E2124" s="17" t="s">
        <v>75</v>
      </c>
      <c r="F2124" s="17" t="s">
        <v>84</v>
      </c>
      <c r="G2124" s="11" t="s">
        <v>772</v>
      </c>
      <c r="H2124" s="11" t="s">
        <v>773</v>
      </c>
      <c r="I2124" s="17" t="s">
        <v>296</v>
      </c>
      <c r="J2124" s="17">
        <v>16.930302696472001</v>
      </c>
      <c r="K2124" s="17">
        <v>-96.601448155113999</v>
      </c>
      <c r="L2124" s="17" t="str">
        <f>HYPERLINK("https://maps.google.com/?q=16.930302696472,-96.601448155114", "🔗 Ver Mapa")</f>
        <v>🔗 Ver Mapa</v>
      </c>
    </row>
    <row r="2125" spans="1:12" ht="43.5" x14ac:dyDescent="0.35">
      <c r="A2125" s="5" t="s">
        <v>4</v>
      </c>
      <c r="B2125" s="5" t="s">
        <v>17</v>
      </c>
      <c r="C2125" s="5" t="s">
        <v>1319</v>
      </c>
      <c r="D2125" s="8" t="s">
        <v>64</v>
      </c>
      <c r="E2125" s="16" t="s">
        <v>75</v>
      </c>
      <c r="F2125" s="16" t="s">
        <v>84</v>
      </c>
      <c r="G2125" s="8" t="s">
        <v>772</v>
      </c>
      <c r="H2125" s="8" t="s">
        <v>773</v>
      </c>
      <c r="I2125" s="16" t="s">
        <v>296</v>
      </c>
      <c r="J2125" s="16">
        <v>16.930359141076998</v>
      </c>
      <c r="K2125" s="16">
        <v>-96.60149332924</v>
      </c>
      <c r="L2125" s="16" t="str">
        <f>HYPERLINK("https://maps.google.com/?q=16.930359141077,-96.60149332924", "🔗 Ver Mapa")</f>
        <v>🔗 Ver Mapa</v>
      </c>
    </row>
    <row r="2126" spans="1:12" ht="43.5" x14ac:dyDescent="0.35">
      <c r="A2126" s="6" t="s">
        <v>4</v>
      </c>
      <c r="B2126" s="6" t="s">
        <v>17</v>
      </c>
      <c r="C2126" s="6" t="s">
        <v>1319</v>
      </c>
      <c r="D2126" s="11" t="s">
        <v>64</v>
      </c>
      <c r="E2126" s="17" t="s">
        <v>75</v>
      </c>
      <c r="F2126" s="17" t="s">
        <v>84</v>
      </c>
      <c r="G2126" s="11" t="s">
        <v>772</v>
      </c>
      <c r="H2126" s="11" t="s">
        <v>773</v>
      </c>
      <c r="I2126" s="17" t="s">
        <v>296</v>
      </c>
      <c r="J2126" s="17">
        <v>16.930785008333</v>
      </c>
      <c r="K2126" s="17">
        <v>-96.601374753333005</v>
      </c>
      <c r="L2126" s="17" t="str">
        <f>HYPERLINK("https://maps.google.com/?q=16.930785008333,-96.601374753333", "🔗 Ver Mapa")</f>
        <v>🔗 Ver Mapa</v>
      </c>
    </row>
    <row r="2127" spans="1:12" ht="43.5" x14ac:dyDescent="0.35">
      <c r="A2127" s="5" t="s">
        <v>4</v>
      </c>
      <c r="B2127" s="5" t="s">
        <v>17</v>
      </c>
      <c r="C2127" s="5" t="s">
        <v>1319</v>
      </c>
      <c r="D2127" s="8" t="s">
        <v>64</v>
      </c>
      <c r="E2127" s="16" t="s">
        <v>75</v>
      </c>
      <c r="F2127" s="16" t="s">
        <v>84</v>
      </c>
      <c r="G2127" s="8" t="s">
        <v>772</v>
      </c>
      <c r="H2127" s="8" t="s">
        <v>773</v>
      </c>
      <c r="I2127" s="16" t="s">
        <v>296</v>
      </c>
      <c r="J2127" s="16">
        <v>16.930852212335999</v>
      </c>
      <c r="K2127" s="16">
        <v>-96.601534880073004</v>
      </c>
      <c r="L2127" s="16" t="str">
        <f>HYPERLINK("https://maps.google.com/?q=16.930852212336,-96.601534880073", "🔗 Ver Mapa")</f>
        <v>🔗 Ver Mapa</v>
      </c>
    </row>
    <row r="2128" spans="1:12" ht="43.5" x14ac:dyDescent="0.35">
      <c r="A2128" s="6" t="s">
        <v>7</v>
      </c>
      <c r="B2128" s="6" t="s">
        <v>20</v>
      </c>
      <c r="C2128" s="6" t="s">
        <v>1320</v>
      </c>
      <c r="D2128" s="11" t="s">
        <v>219</v>
      </c>
      <c r="E2128" s="17" t="s">
        <v>73</v>
      </c>
      <c r="F2128" s="17" t="s">
        <v>83</v>
      </c>
      <c r="G2128" s="11" t="s">
        <v>1321</v>
      </c>
      <c r="H2128" s="11" t="s">
        <v>1322</v>
      </c>
      <c r="I2128" s="17" t="s">
        <v>138</v>
      </c>
      <c r="J2128" s="17">
        <v>16.873759455649001</v>
      </c>
      <c r="K2128" s="17">
        <v>-97.502446332131996</v>
      </c>
      <c r="L2128" s="17" t="str">
        <f>HYPERLINK("https://maps.google.com/?q=16.873759455649,-97.502446332132", "🔗 Ver Mapa")</f>
        <v>🔗 Ver Mapa</v>
      </c>
    </row>
    <row r="2129" spans="1:12" ht="43.5" x14ac:dyDescent="0.35">
      <c r="A2129" s="5" t="s">
        <v>7</v>
      </c>
      <c r="B2129" s="5" t="s">
        <v>20</v>
      </c>
      <c r="C2129" s="5" t="s">
        <v>1320</v>
      </c>
      <c r="D2129" s="8" t="s">
        <v>219</v>
      </c>
      <c r="E2129" s="16" t="s">
        <v>73</v>
      </c>
      <c r="F2129" s="16" t="s">
        <v>83</v>
      </c>
      <c r="G2129" s="8" t="s">
        <v>1321</v>
      </c>
      <c r="H2129" s="8" t="s">
        <v>1322</v>
      </c>
      <c r="I2129" s="16" t="s">
        <v>138</v>
      </c>
      <c r="J2129" s="16">
        <v>16.873945725462001</v>
      </c>
      <c r="K2129" s="16">
        <v>-97.501966191357994</v>
      </c>
      <c r="L2129" s="16" t="str">
        <f>HYPERLINK("https://maps.google.com/?q=16.873945725462,-97.501966191358", "🔗 Ver Mapa")</f>
        <v>🔗 Ver Mapa</v>
      </c>
    </row>
    <row r="2130" spans="1:12" ht="43.5" x14ac:dyDescent="0.35">
      <c r="A2130" s="6" t="s">
        <v>7</v>
      </c>
      <c r="B2130" s="6" t="s">
        <v>20</v>
      </c>
      <c r="C2130" s="6" t="s">
        <v>1320</v>
      </c>
      <c r="D2130" s="11" t="s">
        <v>219</v>
      </c>
      <c r="E2130" s="17" t="s">
        <v>73</v>
      </c>
      <c r="F2130" s="17" t="s">
        <v>83</v>
      </c>
      <c r="G2130" s="11" t="s">
        <v>1321</v>
      </c>
      <c r="H2130" s="11" t="s">
        <v>1322</v>
      </c>
      <c r="I2130" s="17" t="s">
        <v>138</v>
      </c>
      <c r="J2130" s="17">
        <v>16.87423196208</v>
      </c>
      <c r="K2130" s="17">
        <v>-97.502799266851</v>
      </c>
      <c r="L2130" s="17" t="str">
        <f>HYPERLINK("https://maps.google.com/?q=16.87423196208,-97.502799266851", "🔗 Ver Mapa")</f>
        <v>🔗 Ver Mapa</v>
      </c>
    </row>
    <row r="2131" spans="1:12" ht="43.5" x14ac:dyDescent="0.35">
      <c r="A2131" s="5" t="s">
        <v>7</v>
      </c>
      <c r="B2131" s="5" t="s">
        <v>20</v>
      </c>
      <c r="C2131" s="5" t="s">
        <v>1320</v>
      </c>
      <c r="D2131" s="8" t="s">
        <v>219</v>
      </c>
      <c r="E2131" s="16" t="s">
        <v>73</v>
      </c>
      <c r="F2131" s="16" t="s">
        <v>83</v>
      </c>
      <c r="G2131" s="8" t="s">
        <v>1321</v>
      </c>
      <c r="H2131" s="8" t="s">
        <v>1322</v>
      </c>
      <c r="I2131" s="16" t="s">
        <v>138</v>
      </c>
      <c r="J2131" s="16">
        <v>16.874425225766998</v>
      </c>
      <c r="K2131" s="16">
        <v>-97.503276418092</v>
      </c>
      <c r="L2131" s="16" t="str">
        <f>HYPERLINK("https://maps.google.com/?q=16.874425225767,-97.503276418092", "🔗 Ver Mapa")</f>
        <v>🔗 Ver Mapa</v>
      </c>
    </row>
    <row r="2132" spans="1:12" ht="43.5" x14ac:dyDescent="0.35">
      <c r="A2132" s="6" t="s">
        <v>7</v>
      </c>
      <c r="B2132" s="6" t="s">
        <v>20</v>
      </c>
      <c r="C2132" s="6" t="s">
        <v>1320</v>
      </c>
      <c r="D2132" s="11" t="s">
        <v>219</v>
      </c>
      <c r="E2132" s="17" t="s">
        <v>73</v>
      </c>
      <c r="F2132" s="17" t="s">
        <v>83</v>
      </c>
      <c r="G2132" s="11" t="s">
        <v>1321</v>
      </c>
      <c r="H2132" s="11" t="s">
        <v>1322</v>
      </c>
      <c r="I2132" s="17" t="s">
        <v>138</v>
      </c>
      <c r="J2132" s="17">
        <v>16.874618488416999</v>
      </c>
      <c r="K2132" s="17">
        <v>-97.503753570384006</v>
      </c>
      <c r="L2132" s="17" t="str">
        <f>HYPERLINK("https://maps.google.com/?q=16.874618488417,-97.503753570384", "🔗 Ver Mapa")</f>
        <v>🔗 Ver Mapa</v>
      </c>
    </row>
    <row r="2133" spans="1:12" ht="43.5" x14ac:dyDescent="0.35">
      <c r="A2133" s="5" t="s">
        <v>7</v>
      </c>
      <c r="B2133" s="5" t="s">
        <v>20</v>
      </c>
      <c r="C2133" s="5" t="s">
        <v>1320</v>
      </c>
      <c r="D2133" s="8" t="s">
        <v>219</v>
      </c>
      <c r="E2133" s="16" t="s">
        <v>73</v>
      </c>
      <c r="F2133" s="16" t="s">
        <v>83</v>
      </c>
      <c r="G2133" s="8" t="s">
        <v>1321</v>
      </c>
      <c r="H2133" s="8" t="s">
        <v>1322</v>
      </c>
      <c r="I2133" s="16" t="s">
        <v>138</v>
      </c>
      <c r="J2133" s="16">
        <v>16.874820718094998</v>
      </c>
      <c r="K2133" s="16">
        <v>-97.504221267334998</v>
      </c>
      <c r="L2133" s="16" t="str">
        <f>HYPERLINK("https://maps.google.com/?q=16.874820718095,-97.504221267335", "🔗 Ver Mapa")</f>
        <v>🔗 Ver Mapa</v>
      </c>
    </row>
    <row r="2134" spans="1:12" ht="43.5" x14ac:dyDescent="0.35">
      <c r="A2134" s="6" t="s">
        <v>7</v>
      </c>
      <c r="B2134" s="6" t="s">
        <v>20</v>
      </c>
      <c r="C2134" s="6" t="s">
        <v>1320</v>
      </c>
      <c r="D2134" s="11" t="s">
        <v>219</v>
      </c>
      <c r="E2134" s="17" t="s">
        <v>73</v>
      </c>
      <c r="F2134" s="17" t="s">
        <v>83</v>
      </c>
      <c r="G2134" s="11" t="s">
        <v>1321</v>
      </c>
      <c r="H2134" s="11" t="s">
        <v>1322</v>
      </c>
      <c r="I2134" s="17" t="s">
        <v>138</v>
      </c>
      <c r="J2134" s="17">
        <v>16.874973380644001</v>
      </c>
      <c r="K2134" s="17">
        <v>-97.504088664340998</v>
      </c>
      <c r="L2134" s="17" t="str">
        <f>HYPERLINK("https://maps.google.com/?q=16.874973380644,-97.504088664341", "🔗 Ver Mapa")</f>
        <v>🔗 Ver Mapa</v>
      </c>
    </row>
    <row r="2135" spans="1:12" ht="43.5" x14ac:dyDescent="0.35">
      <c r="A2135" s="5" t="s">
        <v>7</v>
      </c>
      <c r="B2135" s="5" t="s">
        <v>20</v>
      </c>
      <c r="C2135" s="5" t="s">
        <v>1320</v>
      </c>
      <c r="D2135" s="8" t="s">
        <v>219</v>
      </c>
      <c r="E2135" s="16" t="s">
        <v>73</v>
      </c>
      <c r="F2135" s="16" t="s">
        <v>83</v>
      </c>
      <c r="G2135" s="8" t="s">
        <v>1321</v>
      </c>
      <c r="H2135" s="8" t="s">
        <v>1322</v>
      </c>
      <c r="I2135" s="16" t="s">
        <v>138</v>
      </c>
      <c r="J2135" s="16">
        <v>16.875011162589001</v>
      </c>
      <c r="K2135" s="16">
        <v>-97.503074700753004</v>
      </c>
      <c r="L2135" s="16" t="str">
        <f>HYPERLINK("https://maps.google.com/?q=16.875011162589,-97.503074700753", "🔗 Ver Mapa")</f>
        <v>🔗 Ver Mapa</v>
      </c>
    </row>
    <row r="2136" spans="1:12" ht="43.5" x14ac:dyDescent="0.35">
      <c r="A2136" s="6" t="s">
        <v>7</v>
      </c>
      <c r="B2136" s="6" t="s">
        <v>20</v>
      </c>
      <c r="C2136" s="6" t="s">
        <v>1320</v>
      </c>
      <c r="D2136" s="11" t="s">
        <v>219</v>
      </c>
      <c r="E2136" s="17" t="s">
        <v>73</v>
      </c>
      <c r="F2136" s="17" t="s">
        <v>83</v>
      </c>
      <c r="G2136" s="11" t="s">
        <v>1321</v>
      </c>
      <c r="H2136" s="11" t="s">
        <v>1322</v>
      </c>
      <c r="I2136" s="17" t="s">
        <v>138</v>
      </c>
      <c r="J2136" s="17">
        <v>16.875041362282001</v>
      </c>
      <c r="K2136" s="17">
        <v>-97.504735749439007</v>
      </c>
      <c r="L2136" s="17" t="str">
        <f>HYPERLINK("https://maps.google.com/?q=16.875041362282,-97.504735749439", "🔗 Ver Mapa")</f>
        <v>🔗 Ver Mapa</v>
      </c>
    </row>
    <row r="2137" spans="1:12" ht="43.5" x14ac:dyDescent="0.35">
      <c r="A2137" s="5" t="s">
        <v>7</v>
      </c>
      <c r="B2137" s="5" t="s">
        <v>20</v>
      </c>
      <c r="C2137" s="5" t="s">
        <v>1320</v>
      </c>
      <c r="D2137" s="8" t="s">
        <v>219</v>
      </c>
      <c r="E2137" s="16" t="s">
        <v>73</v>
      </c>
      <c r="F2137" s="16" t="s">
        <v>83</v>
      </c>
      <c r="G2137" s="8" t="s">
        <v>1321</v>
      </c>
      <c r="H2137" s="8" t="s">
        <v>1322</v>
      </c>
      <c r="I2137" s="16" t="s">
        <v>138</v>
      </c>
      <c r="J2137" s="16">
        <v>16.875051078407999</v>
      </c>
      <c r="K2137" s="16">
        <v>-97.503590605192997</v>
      </c>
      <c r="L2137" s="16" t="str">
        <f>HYPERLINK("https://maps.google.com/?q=16.875051078408,-97.503590605193", "🔗 Ver Mapa")</f>
        <v>🔗 Ver Mapa</v>
      </c>
    </row>
    <row r="2138" spans="1:12" ht="43.5" x14ac:dyDescent="0.35">
      <c r="A2138" s="6" t="s">
        <v>7</v>
      </c>
      <c r="B2138" s="6" t="s">
        <v>20</v>
      </c>
      <c r="C2138" s="6" t="s">
        <v>1320</v>
      </c>
      <c r="D2138" s="11" t="s">
        <v>219</v>
      </c>
      <c r="E2138" s="17" t="s">
        <v>73</v>
      </c>
      <c r="F2138" s="17" t="s">
        <v>83</v>
      </c>
      <c r="G2138" s="11" t="s">
        <v>1321</v>
      </c>
      <c r="H2138" s="11" t="s">
        <v>1322</v>
      </c>
      <c r="I2138" s="17" t="s">
        <v>138</v>
      </c>
      <c r="J2138" s="17">
        <v>16.875128843477</v>
      </c>
      <c r="K2138" s="17">
        <v>-97.503101931000998</v>
      </c>
      <c r="L2138" s="17" t="str">
        <f>HYPERLINK("https://maps.google.com/?q=16.875128843477,-97.503101931001", "🔗 Ver Mapa")</f>
        <v>🔗 Ver Mapa</v>
      </c>
    </row>
    <row r="2139" spans="1:12" ht="43.5" x14ac:dyDescent="0.35">
      <c r="A2139" s="5" t="s">
        <v>7</v>
      </c>
      <c r="B2139" s="5" t="s">
        <v>20</v>
      </c>
      <c r="C2139" s="5" t="s">
        <v>1320</v>
      </c>
      <c r="D2139" s="8" t="s">
        <v>219</v>
      </c>
      <c r="E2139" s="16" t="s">
        <v>73</v>
      </c>
      <c r="F2139" s="16" t="s">
        <v>83</v>
      </c>
      <c r="G2139" s="8" t="s">
        <v>1321</v>
      </c>
      <c r="H2139" s="8" t="s">
        <v>1322</v>
      </c>
      <c r="I2139" s="16" t="s">
        <v>138</v>
      </c>
      <c r="J2139" s="16">
        <v>16.875292674059999</v>
      </c>
      <c r="K2139" s="16">
        <v>-97.504499126271</v>
      </c>
      <c r="L2139" s="16" t="str">
        <f>HYPERLINK("https://maps.google.com/?q=16.87529267406,-97.504499126271", "🔗 Ver Mapa")</f>
        <v>🔗 Ver Mapa</v>
      </c>
    </row>
    <row r="2140" spans="1:12" ht="43.5" x14ac:dyDescent="0.35">
      <c r="A2140" s="6" t="s">
        <v>7</v>
      </c>
      <c r="B2140" s="6" t="s">
        <v>20</v>
      </c>
      <c r="C2140" s="6" t="s">
        <v>1320</v>
      </c>
      <c r="D2140" s="11" t="s">
        <v>219</v>
      </c>
      <c r="E2140" s="17" t="s">
        <v>73</v>
      </c>
      <c r="F2140" s="17" t="s">
        <v>83</v>
      </c>
      <c r="G2140" s="11" t="s">
        <v>1321</v>
      </c>
      <c r="H2140" s="11" t="s">
        <v>1322</v>
      </c>
      <c r="I2140" s="17" t="s">
        <v>138</v>
      </c>
      <c r="J2140" s="17">
        <v>16.875474563099001</v>
      </c>
      <c r="K2140" s="17">
        <v>-97.503418325086002</v>
      </c>
      <c r="L2140" s="17" t="str">
        <f>HYPERLINK("https://maps.google.com/?q=16.875474563099,-97.503418325086", "🔗 Ver Mapa")</f>
        <v>🔗 Ver Mapa</v>
      </c>
    </row>
    <row r="2141" spans="1:12" ht="43.5" x14ac:dyDescent="0.35">
      <c r="A2141" s="5" t="s">
        <v>7</v>
      </c>
      <c r="B2141" s="5" t="s">
        <v>20</v>
      </c>
      <c r="C2141" s="5" t="s">
        <v>1320</v>
      </c>
      <c r="D2141" s="8" t="s">
        <v>219</v>
      </c>
      <c r="E2141" s="16" t="s">
        <v>73</v>
      </c>
      <c r="F2141" s="16" t="s">
        <v>83</v>
      </c>
      <c r="G2141" s="8" t="s">
        <v>1321</v>
      </c>
      <c r="H2141" s="8" t="s">
        <v>1322</v>
      </c>
      <c r="I2141" s="16" t="s">
        <v>138</v>
      </c>
      <c r="J2141" s="16">
        <v>16.875803647544</v>
      </c>
      <c r="K2141" s="16">
        <v>-97.506409816276999</v>
      </c>
      <c r="L2141" s="16" t="str">
        <f>HYPERLINK("https://maps.google.com/?q=16.875803647544,-97.506409816277", "🔗 Ver Mapa")</f>
        <v>🔗 Ver Mapa</v>
      </c>
    </row>
    <row r="2142" spans="1:12" ht="43.5" x14ac:dyDescent="0.35">
      <c r="A2142" s="6" t="s">
        <v>7</v>
      </c>
      <c r="B2142" s="6" t="s">
        <v>20</v>
      </c>
      <c r="C2142" s="6" t="s">
        <v>1320</v>
      </c>
      <c r="D2142" s="11" t="s">
        <v>219</v>
      </c>
      <c r="E2142" s="17" t="s">
        <v>73</v>
      </c>
      <c r="F2142" s="17" t="s">
        <v>83</v>
      </c>
      <c r="G2142" s="11" t="s">
        <v>1321</v>
      </c>
      <c r="H2142" s="11" t="s">
        <v>1322</v>
      </c>
      <c r="I2142" s="17" t="s">
        <v>138</v>
      </c>
      <c r="J2142" s="17">
        <v>16.875820419357002</v>
      </c>
      <c r="K2142" s="17">
        <v>-97.503753490907997</v>
      </c>
      <c r="L2142" s="17" t="str">
        <f>HYPERLINK("https://maps.google.com/?q=16.875820419357,-97.503753490908", "🔗 Ver Mapa")</f>
        <v>🔗 Ver Mapa</v>
      </c>
    </row>
    <row r="2143" spans="1:12" ht="43.5" x14ac:dyDescent="0.35">
      <c r="A2143" s="5" t="s">
        <v>7</v>
      </c>
      <c r="B2143" s="5" t="s">
        <v>20</v>
      </c>
      <c r="C2143" s="5" t="s">
        <v>1320</v>
      </c>
      <c r="D2143" s="8" t="s">
        <v>219</v>
      </c>
      <c r="E2143" s="16" t="s">
        <v>73</v>
      </c>
      <c r="F2143" s="16" t="s">
        <v>83</v>
      </c>
      <c r="G2143" s="8" t="s">
        <v>1321</v>
      </c>
      <c r="H2143" s="8" t="s">
        <v>1322</v>
      </c>
      <c r="I2143" s="16" t="s">
        <v>138</v>
      </c>
      <c r="J2143" s="16">
        <v>16.876121708903</v>
      </c>
      <c r="K2143" s="16">
        <v>-97.504173481536995</v>
      </c>
      <c r="L2143" s="16" t="str">
        <f>HYPERLINK("https://maps.google.com/?q=16.876121708903,-97.504173481537", "🔗 Ver Mapa")</f>
        <v>🔗 Ver Mapa</v>
      </c>
    </row>
    <row r="2144" spans="1:12" ht="43.5" x14ac:dyDescent="0.35">
      <c r="A2144" s="6" t="s">
        <v>7</v>
      </c>
      <c r="B2144" s="6" t="s">
        <v>20</v>
      </c>
      <c r="C2144" s="6" t="s">
        <v>1320</v>
      </c>
      <c r="D2144" s="11" t="s">
        <v>219</v>
      </c>
      <c r="E2144" s="17" t="s">
        <v>73</v>
      </c>
      <c r="F2144" s="17" t="s">
        <v>83</v>
      </c>
      <c r="G2144" s="11" t="s">
        <v>1321</v>
      </c>
      <c r="H2144" s="11" t="s">
        <v>1322</v>
      </c>
      <c r="I2144" s="17" t="s">
        <v>138</v>
      </c>
      <c r="J2144" s="17">
        <v>16.876244797694</v>
      </c>
      <c r="K2144" s="17">
        <v>-97.506181087347002</v>
      </c>
      <c r="L2144" s="17" t="str">
        <f>HYPERLINK("https://maps.google.com/?q=16.876244797694,-97.506181087347", "🔗 Ver Mapa")</f>
        <v>🔗 Ver Mapa</v>
      </c>
    </row>
    <row r="2145" spans="1:12" ht="43.5" x14ac:dyDescent="0.35">
      <c r="A2145" s="5" t="s">
        <v>7</v>
      </c>
      <c r="B2145" s="5" t="s">
        <v>20</v>
      </c>
      <c r="C2145" s="5" t="s">
        <v>1320</v>
      </c>
      <c r="D2145" s="8" t="s">
        <v>219</v>
      </c>
      <c r="E2145" s="16" t="s">
        <v>73</v>
      </c>
      <c r="F2145" s="16" t="s">
        <v>83</v>
      </c>
      <c r="G2145" s="8" t="s">
        <v>1321</v>
      </c>
      <c r="H2145" s="8" t="s">
        <v>1322</v>
      </c>
      <c r="I2145" s="16" t="s">
        <v>138</v>
      </c>
      <c r="J2145" s="16">
        <v>16.876649322235</v>
      </c>
      <c r="K2145" s="16">
        <v>-97.505886944107999</v>
      </c>
      <c r="L2145" s="16" t="str">
        <f>HYPERLINK("https://maps.google.com/?q=16.876649322235,-97.505886944108", "🔗 Ver Mapa")</f>
        <v>🔗 Ver Mapa</v>
      </c>
    </row>
    <row r="2146" spans="1:12" ht="43.5" x14ac:dyDescent="0.35">
      <c r="A2146" s="6" t="s">
        <v>7</v>
      </c>
      <c r="B2146" s="6" t="s">
        <v>20</v>
      </c>
      <c r="C2146" s="6" t="s">
        <v>1320</v>
      </c>
      <c r="D2146" s="11" t="s">
        <v>219</v>
      </c>
      <c r="E2146" s="17" t="s">
        <v>73</v>
      </c>
      <c r="F2146" s="17" t="s">
        <v>83</v>
      </c>
      <c r="G2146" s="11" t="s">
        <v>1321</v>
      </c>
      <c r="H2146" s="11" t="s">
        <v>1322</v>
      </c>
      <c r="I2146" s="17" t="s">
        <v>138</v>
      </c>
      <c r="J2146" s="17">
        <v>16.876722436922002</v>
      </c>
      <c r="K2146" s="17">
        <v>-97.504760062496999</v>
      </c>
      <c r="L2146" s="17" t="str">
        <f>HYPERLINK("https://maps.google.com/?q=16.876722436922,-97.504760062497", "🔗 Ver Mapa")</f>
        <v>🔗 Ver Mapa</v>
      </c>
    </row>
    <row r="2147" spans="1:12" ht="43.5" x14ac:dyDescent="0.35">
      <c r="A2147" s="5" t="s">
        <v>7</v>
      </c>
      <c r="B2147" s="5" t="s">
        <v>20</v>
      </c>
      <c r="C2147" s="5" t="s">
        <v>1320</v>
      </c>
      <c r="D2147" s="8" t="s">
        <v>219</v>
      </c>
      <c r="E2147" s="16" t="s">
        <v>73</v>
      </c>
      <c r="F2147" s="16" t="s">
        <v>83</v>
      </c>
      <c r="G2147" s="8" t="s">
        <v>1321</v>
      </c>
      <c r="H2147" s="8" t="s">
        <v>1322</v>
      </c>
      <c r="I2147" s="16" t="s">
        <v>138</v>
      </c>
      <c r="J2147" s="16">
        <v>16.876881010000002</v>
      </c>
      <c r="K2147" s="16">
        <v>-97.505491109999994</v>
      </c>
      <c r="L2147" s="16" t="str">
        <f>HYPERLINK("https://maps.google.com/?q=16.87688101,-97.50549111", "🔗 Ver Mapa")</f>
        <v>🔗 Ver Mapa</v>
      </c>
    </row>
    <row r="2148" spans="1:12" ht="43.5" x14ac:dyDescent="0.35">
      <c r="A2148" s="6" t="s">
        <v>7</v>
      </c>
      <c r="B2148" s="6" t="s">
        <v>20</v>
      </c>
      <c r="C2148" s="6" t="s">
        <v>1320</v>
      </c>
      <c r="D2148" s="11" t="s">
        <v>219</v>
      </c>
      <c r="E2148" s="17" t="s">
        <v>73</v>
      </c>
      <c r="F2148" s="17" t="s">
        <v>83</v>
      </c>
      <c r="G2148" s="11" t="s">
        <v>1321</v>
      </c>
      <c r="H2148" s="11" t="s">
        <v>1322</v>
      </c>
      <c r="I2148" s="17" t="s">
        <v>138</v>
      </c>
      <c r="J2148" s="17">
        <v>16.877036457509998</v>
      </c>
      <c r="K2148" s="17">
        <v>-97.505686795412998</v>
      </c>
      <c r="L2148" s="17" t="str">
        <f>HYPERLINK("https://maps.google.com/?q=16.87703645751,-97.505686795413", "🔗 Ver Mapa")</f>
        <v>🔗 Ver Mapa</v>
      </c>
    </row>
    <row r="2149" spans="1:12" ht="43.5" x14ac:dyDescent="0.35">
      <c r="A2149" s="5" t="s">
        <v>7</v>
      </c>
      <c r="B2149" s="5" t="s">
        <v>20</v>
      </c>
      <c r="C2149" s="5" t="s">
        <v>1320</v>
      </c>
      <c r="D2149" s="8" t="s">
        <v>219</v>
      </c>
      <c r="E2149" s="16" t="s">
        <v>73</v>
      </c>
      <c r="F2149" s="16" t="s">
        <v>83</v>
      </c>
      <c r="G2149" s="8" t="s">
        <v>1321</v>
      </c>
      <c r="H2149" s="8" t="s">
        <v>1322</v>
      </c>
      <c r="I2149" s="16" t="s">
        <v>138</v>
      </c>
      <c r="J2149" s="16">
        <v>16.877039195955</v>
      </c>
      <c r="K2149" s="16">
        <v>-97.50482327073</v>
      </c>
      <c r="L2149" s="16" t="str">
        <f>HYPERLINK("https://maps.google.com/?q=16.877039195955,-97.50482327073", "🔗 Ver Mapa")</f>
        <v>🔗 Ver Mapa</v>
      </c>
    </row>
    <row r="2150" spans="1:12" ht="43.5" x14ac:dyDescent="0.35">
      <c r="A2150" s="6" t="s">
        <v>7</v>
      </c>
      <c r="B2150" s="6" t="s">
        <v>20</v>
      </c>
      <c r="C2150" s="6" t="s">
        <v>1320</v>
      </c>
      <c r="D2150" s="11" t="s">
        <v>219</v>
      </c>
      <c r="E2150" s="17" t="s">
        <v>73</v>
      </c>
      <c r="F2150" s="17" t="s">
        <v>83</v>
      </c>
      <c r="G2150" s="11" t="s">
        <v>1321</v>
      </c>
      <c r="H2150" s="11" t="s">
        <v>1322</v>
      </c>
      <c r="I2150" s="17" t="s">
        <v>138</v>
      </c>
      <c r="J2150" s="17">
        <v>16.877283934623001</v>
      </c>
      <c r="K2150" s="17">
        <v>-97.506163530623994</v>
      </c>
      <c r="L2150" s="17" t="str">
        <f>HYPERLINK("https://maps.google.com/?q=16.877283934623,-97.506163530624", "🔗 Ver Mapa")</f>
        <v>🔗 Ver Mapa</v>
      </c>
    </row>
    <row r="2151" spans="1:12" ht="43.5" x14ac:dyDescent="0.35">
      <c r="A2151" s="5" t="s">
        <v>7</v>
      </c>
      <c r="B2151" s="5" t="s">
        <v>20</v>
      </c>
      <c r="C2151" s="5" t="s">
        <v>1320</v>
      </c>
      <c r="D2151" s="8" t="s">
        <v>219</v>
      </c>
      <c r="E2151" s="16" t="s">
        <v>73</v>
      </c>
      <c r="F2151" s="16" t="s">
        <v>83</v>
      </c>
      <c r="G2151" s="8" t="s">
        <v>1321</v>
      </c>
      <c r="H2151" s="8" t="s">
        <v>1322</v>
      </c>
      <c r="I2151" s="16" t="s">
        <v>138</v>
      </c>
      <c r="J2151" s="16">
        <v>16.877421128077</v>
      </c>
      <c r="K2151" s="16">
        <v>-97.505148772016</v>
      </c>
      <c r="L2151" s="16" t="str">
        <f>HYPERLINK("https://maps.google.com/?q=16.877421128077,-97.505148772016", "🔗 Ver Mapa")</f>
        <v>🔗 Ver Mapa</v>
      </c>
    </row>
    <row r="2152" spans="1:12" ht="43.5" x14ac:dyDescent="0.35">
      <c r="A2152" s="6" t="s">
        <v>7</v>
      </c>
      <c r="B2152" s="6" t="s">
        <v>20</v>
      </c>
      <c r="C2152" s="6" t="s">
        <v>1320</v>
      </c>
      <c r="D2152" s="11" t="s">
        <v>219</v>
      </c>
      <c r="E2152" s="17" t="s">
        <v>73</v>
      </c>
      <c r="F2152" s="17" t="s">
        <v>83</v>
      </c>
      <c r="G2152" s="11" t="s">
        <v>1321</v>
      </c>
      <c r="H2152" s="11" t="s">
        <v>1322</v>
      </c>
      <c r="I2152" s="17" t="s">
        <v>138</v>
      </c>
      <c r="J2152" s="17">
        <v>16.877531410719001</v>
      </c>
      <c r="K2152" s="17">
        <v>-97.506640267145002</v>
      </c>
      <c r="L2152" s="17" t="str">
        <f>HYPERLINK("https://maps.google.com/?q=16.877531410719,-97.506640267145", "🔗 Ver Mapa")</f>
        <v>🔗 Ver Mapa</v>
      </c>
    </row>
    <row r="2153" spans="1:12" ht="43.5" x14ac:dyDescent="0.35">
      <c r="A2153" s="5" t="s">
        <v>7</v>
      </c>
      <c r="B2153" s="5" t="s">
        <v>20</v>
      </c>
      <c r="C2153" s="5" t="s">
        <v>1320</v>
      </c>
      <c r="D2153" s="8" t="s">
        <v>219</v>
      </c>
      <c r="E2153" s="16" t="s">
        <v>73</v>
      </c>
      <c r="F2153" s="16" t="s">
        <v>83</v>
      </c>
      <c r="G2153" s="8" t="s">
        <v>1321</v>
      </c>
      <c r="H2153" s="8" t="s">
        <v>1322</v>
      </c>
      <c r="I2153" s="16" t="s">
        <v>138</v>
      </c>
      <c r="J2153" s="16">
        <v>16.877730288094</v>
      </c>
      <c r="K2153" s="16">
        <v>-97.505409145532994</v>
      </c>
      <c r="L2153" s="16" t="str">
        <f>HYPERLINK("https://maps.google.com/?q=16.877730288094,-97.505409145533", "🔗 Ver Mapa")</f>
        <v>🔗 Ver Mapa</v>
      </c>
    </row>
    <row r="2154" spans="1:12" ht="43.5" x14ac:dyDescent="0.35">
      <c r="A2154" s="6" t="s">
        <v>7</v>
      </c>
      <c r="B2154" s="6" t="s">
        <v>20</v>
      </c>
      <c r="C2154" s="6" t="s">
        <v>1320</v>
      </c>
      <c r="D2154" s="11" t="s">
        <v>219</v>
      </c>
      <c r="E2154" s="17" t="s">
        <v>73</v>
      </c>
      <c r="F2154" s="17" t="s">
        <v>83</v>
      </c>
      <c r="G2154" s="11" t="s">
        <v>1321</v>
      </c>
      <c r="H2154" s="11" t="s">
        <v>1322</v>
      </c>
      <c r="I2154" s="17" t="s">
        <v>138</v>
      </c>
      <c r="J2154" s="17">
        <v>16.877733094324999</v>
      </c>
      <c r="K2154" s="17">
        <v>-97.505793946964999</v>
      </c>
      <c r="L2154" s="17" t="str">
        <f>HYPERLINK("https://maps.google.com/?q=16.877733094325,-97.505793946965", "🔗 Ver Mapa")</f>
        <v>🔗 Ver Mapa</v>
      </c>
    </row>
    <row r="2155" spans="1:12" ht="43.5" x14ac:dyDescent="0.35">
      <c r="A2155" s="5" t="s">
        <v>7</v>
      </c>
      <c r="B2155" s="5" t="s">
        <v>20</v>
      </c>
      <c r="C2155" s="5" t="s">
        <v>1320</v>
      </c>
      <c r="D2155" s="8" t="s">
        <v>219</v>
      </c>
      <c r="E2155" s="16" t="s">
        <v>73</v>
      </c>
      <c r="F2155" s="16" t="s">
        <v>83</v>
      </c>
      <c r="G2155" s="8" t="s">
        <v>1321</v>
      </c>
      <c r="H2155" s="8" t="s">
        <v>1322</v>
      </c>
      <c r="I2155" s="16" t="s">
        <v>138</v>
      </c>
      <c r="J2155" s="16">
        <v>16.877921592259</v>
      </c>
      <c r="K2155" s="16">
        <v>-97.506489723480996</v>
      </c>
      <c r="L2155" s="16" t="str">
        <f>HYPERLINK("https://maps.google.com/?q=16.877921592259,-97.506489723481", "🔗 Ver Mapa")</f>
        <v>🔗 Ver Mapa</v>
      </c>
    </row>
    <row r="2156" spans="1:12" ht="43.5" x14ac:dyDescent="0.35">
      <c r="A2156" s="6" t="s">
        <v>7</v>
      </c>
      <c r="B2156" s="6" t="s">
        <v>20</v>
      </c>
      <c r="C2156" s="6" t="s">
        <v>1320</v>
      </c>
      <c r="D2156" s="11" t="s">
        <v>219</v>
      </c>
      <c r="E2156" s="17" t="s">
        <v>73</v>
      </c>
      <c r="F2156" s="17" t="s">
        <v>83</v>
      </c>
      <c r="G2156" s="11" t="s">
        <v>1321</v>
      </c>
      <c r="H2156" s="11" t="s">
        <v>1322</v>
      </c>
      <c r="I2156" s="17" t="s">
        <v>138</v>
      </c>
      <c r="J2156" s="17">
        <v>16.877986939197999</v>
      </c>
      <c r="K2156" s="17">
        <v>-97.504665636254998</v>
      </c>
      <c r="L2156" s="17" t="str">
        <f>HYPERLINK("https://maps.google.com/?q=16.877986939198,-97.504665636255", "🔗 Ver Mapa")</f>
        <v>🔗 Ver Mapa</v>
      </c>
    </row>
    <row r="2157" spans="1:12" ht="43.5" x14ac:dyDescent="0.35">
      <c r="A2157" s="5" t="s">
        <v>7</v>
      </c>
      <c r="B2157" s="5" t="s">
        <v>20</v>
      </c>
      <c r="C2157" s="5" t="s">
        <v>1320</v>
      </c>
      <c r="D2157" s="8" t="s">
        <v>219</v>
      </c>
      <c r="E2157" s="16" t="s">
        <v>73</v>
      </c>
      <c r="F2157" s="16" t="s">
        <v>83</v>
      </c>
      <c r="G2157" s="8" t="s">
        <v>1321</v>
      </c>
      <c r="H2157" s="8" t="s">
        <v>1322</v>
      </c>
      <c r="I2157" s="16" t="s">
        <v>138</v>
      </c>
      <c r="J2157" s="16">
        <v>16.878196492196999</v>
      </c>
      <c r="K2157" s="16">
        <v>-97.504898635700997</v>
      </c>
      <c r="L2157" s="16" t="str">
        <f>HYPERLINK("https://maps.google.com/?q=16.878196492197,-97.504898635701", "🔗 Ver Mapa")</f>
        <v>🔗 Ver Mapa</v>
      </c>
    </row>
    <row r="2158" spans="1:12" ht="43.5" x14ac:dyDescent="0.35">
      <c r="A2158" s="6" t="s">
        <v>7</v>
      </c>
      <c r="B2158" s="6" t="s">
        <v>20</v>
      </c>
      <c r="C2158" s="6" t="s">
        <v>1320</v>
      </c>
      <c r="D2158" s="11" t="s">
        <v>219</v>
      </c>
      <c r="E2158" s="17" t="s">
        <v>73</v>
      </c>
      <c r="F2158" s="17" t="s">
        <v>83</v>
      </c>
      <c r="G2158" s="11" t="s">
        <v>1321</v>
      </c>
      <c r="H2158" s="11" t="s">
        <v>1322</v>
      </c>
      <c r="I2158" s="17" t="s">
        <v>138</v>
      </c>
      <c r="J2158" s="17">
        <v>16.878242563362001</v>
      </c>
      <c r="K2158" s="17">
        <v>-97.506259237934003</v>
      </c>
      <c r="L2158" s="17" t="str">
        <f>HYPERLINK("https://maps.google.com/?q=16.878242563362,-97.506259237934", "🔗 Ver Mapa")</f>
        <v>🔗 Ver Mapa</v>
      </c>
    </row>
    <row r="2159" spans="1:12" ht="43.5" x14ac:dyDescent="0.35">
      <c r="A2159" s="5" t="s">
        <v>7</v>
      </c>
      <c r="B2159" s="5" t="s">
        <v>20</v>
      </c>
      <c r="C2159" s="5" t="s">
        <v>1320</v>
      </c>
      <c r="D2159" s="8" t="s">
        <v>219</v>
      </c>
      <c r="E2159" s="16" t="s">
        <v>73</v>
      </c>
      <c r="F2159" s="16" t="s">
        <v>83</v>
      </c>
      <c r="G2159" s="8" t="s">
        <v>1321</v>
      </c>
      <c r="H2159" s="8" t="s">
        <v>1322</v>
      </c>
      <c r="I2159" s="16" t="s">
        <v>138</v>
      </c>
      <c r="J2159" s="16">
        <v>16.878456908842999</v>
      </c>
      <c r="K2159" s="16">
        <v>-97.504671322739995</v>
      </c>
      <c r="L2159" s="16" t="str">
        <f>HYPERLINK("https://maps.google.com/?q=16.878456908843,-97.50467132274", "🔗 Ver Mapa")</f>
        <v>🔗 Ver Mapa</v>
      </c>
    </row>
    <row r="2160" spans="1:12" ht="43.5" x14ac:dyDescent="0.35">
      <c r="A2160" s="6" t="s">
        <v>7</v>
      </c>
      <c r="B2160" s="6" t="s">
        <v>20</v>
      </c>
      <c r="C2160" s="6" t="s">
        <v>1320</v>
      </c>
      <c r="D2160" s="11" t="s">
        <v>219</v>
      </c>
      <c r="E2160" s="17" t="s">
        <v>73</v>
      </c>
      <c r="F2160" s="17" t="s">
        <v>83</v>
      </c>
      <c r="G2160" s="11" t="s">
        <v>1321</v>
      </c>
      <c r="H2160" s="11" t="s">
        <v>1322</v>
      </c>
      <c r="I2160" s="17" t="s">
        <v>138</v>
      </c>
      <c r="J2160" s="17">
        <v>16.878493876937998</v>
      </c>
      <c r="K2160" s="17">
        <v>-97.504783663417996</v>
      </c>
      <c r="L2160" s="17" t="str">
        <f>HYPERLINK("https://maps.google.com/?q=16.878493876938,-97.504783663418", "🔗 Ver Mapa")</f>
        <v>🔗 Ver Mapa</v>
      </c>
    </row>
    <row r="2161" spans="1:12" ht="43.5" x14ac:dyDescent="0.35">
      <c r="A2161" s="5" t="s">
        <v>7</v>
      </c>
      <c r="B2161" s="5" t="s">
        <v>20</v>
      </c>
      <c r="C2161" s="5" t="s">
        <v>1320</v>
      </c>
      <c r="D2161" s="8" t="s">
        <v>219</v>
      </c>
      <c r="E2161" s="16" t="s">
        <v>73</v>
      </c>
      <c r="F2161" s="16" t="s">
        <v>83</v>
      </c>
      <c r="G2161" s="8" t="s">
        <v>1321</v>
      </c>
      <c r="H2161" s="8" t="s">
        <v>1322</v>
      </c>
      <c r="I2161" s="16" t="s">
        <v>138</v>
      </c>
      <c r="J2161" s="16">
        <v>16.878542342018001</v>
      </c>
      <c r="K2161" s="16">
        <v>-97.503994860039001</v>
      </c>
      <c r="L2161" s="16" t="str">
        <f>HYPERLINK("https://maps.google.com/?q=16.878542342018,-97.503994860039", "🔗 Ver Mapa")</f>
        <v>🔗 Ver Mapa</v>
      </c>
    </row>
    <row r="2162" spans="1:12" ht="43.5" x14ac:dyDescent="0.35">
      <c r="A2162" s="6" t="s">
        <v>7</v>
      </c>
      <c r="B2162" s="6" t="s">
        <v>20</v>
      </c>
      <c r="C2162" s="6" t="s">
        <v>1320</v>
      </c>
      <c r="D2162" s="11" t="s">
        <v>219</v>
      </c>
      <c r="E2162" s="17" t="s">
        <v>73</v>
      </c>
      <c r="F2162" s="17" t="s">
        <v>83</v>
      </c>
      <c r="G2162" s="11" t="s">
        <v>1321</v>
      </c>
      <c r="H2162" s="11" t="s">
        <v>1322</v>
      </c>
      <c r="I2162" s="17" t="s">
        <v>138</v>
      </c>
      <c r="J2162" s="17">
        <v>16.878559871936002</v>
      </c>
      <c r="K2162" s="17">
        <v>-97.505158583069004</v>
      </c>
      <c r="L2162" s="17" t="str">
        <f>HYPERLINK("https://maps.google.com/?q=16.878559871936,-97.505158583069", "🔗 Ver Mapa")</f>
        <v>🔗 Ver Mapa</v>
      </c>
    </row>
    <row r="2163" spans="1:12" ht="43.5" x14ac:dyDescent="0.35">
      <c r="A2163" s="5" t="s">
        <v>7</v>
      </c>
      <c r="B2163" s="5" t="s">
        <v>20</v>
      </c>
      <c r="C2163" s="5" t="s">
        <v>1320</v>
      </c>
      <c r="D2163" s="8" t="s">
        <v>219</v>
      </c>
      <c r="E2163" s="16" t="s">
        <v>73</v>
      </c>
      <c r="F2163" s="16" t="s">
        <v>83</v>
      </c>
      <c r="G2163" s="8" t="s">
        <v>1321</v>
      </c>
      <c r="H2163" s="8" t="s">
        <v>1322</v>
      </c>
      <c r="I2163" s="16" t="s">
        <v>138</v>
      </c>
      <c r="J2163" s="16">
        <v>16.878717462183001</v>
      </c>
      <c r="K2163" s="16">
        <v>-97.504462780034999</v>
      </c>
      <c r="L2163" s="16" t="str">
        <f>HYPERLINK("https://maps.google.com/?q=16.878717462183,-97.504462780035", "🔗 Ver Mapa")</f>
        <v>🔗 Ver Mapa</v>
      </c>
    </row>
    <row r="2164" spans="1:12" ht="43.5" x14ac:dyDescent="0.35">
      <c r="A2164" s="6" t="s">
        <v>7</v>
      </c>
      <c r="B2164" s="6" t="s">
        <v>20</v>
      </c>
      <c r="C2164" s="6" t="s">
        <v>1320</v>
      </c>
      <c r="D2164" s="11" t="s">
        <v>219</v>
      </c>
      <c r="E2164" s="17" t="s">
        <v>73</v>
      </c>
      <c r="F2164" s="17" t="s">
        <v>83</v>
      </c>
      <c r="G2164" s="11" t="s">
        <v>1321</v>
      </c>
      <c r="H2164" s="11" t="s">
        <v>1322</v>
      </c>
      <c r="I2164" s="17" t="s">
        <v>138</v>
      </c>
      <c r="J2164" s="17">
        <v>16.879166417078999</v>
      </c>
      <c r="K2164" s="17">
        <v>-97.505303986014994</v>
      </c>
      <c r="L2164" s="17" t="str">
        <f>HYPERLINK("https://maps.google.com/?q=16.879166417079,-97.505303986015", "🔗 Ver Mapa")</f>
        <v>🔗 Ver Mapa</v>
      </c>
    </row>
    <row r="2165" spans="1:12" ht="43.5" x14ac:dyDescent="0.35">
      <c r="A2165" s="5" t="s">
        <v>7</v>
      </c>
      <c r="B2165" s="5" t="s">
        <v>20</v>
      </c>
      <c r="C2165" s="5" t="s">
        <v>1320</v>
      </c>
      <c r="D2165" s="8" t="s">
        <v>219</v>
      </c>
      <c r="E2165" s="16" t="s">
        <v>73</v>
      </c>
      <c r="F2165" s="16" t="s">
        <v>83</v>
      </c>
      <c r="G2165" s="8" t="s">
        <v>1321</v>
      </c>
      <c r="H2165" s="8" t="s">
        <v>1322</v>
      </c>
      <c r="I2165" s="16" t="s">
        <v>138</v>
      </c>
      <c r="J2165" s="16">
        <v>16.879217007249</v>
      </c>
      <c r="K2165" s="16">
        <v>-97.504806129360006</v>
      </c>
      <c r="L2165" s="16" t="str">
        <f>HYPERLINK("https://maps.google.com/?q=16.879217007249,-97.50480612936", "🔗 Ver Mapa")</f>
        <v>🔗 Ver Mapa</v>
      </c>
    </row>
    <row r="2166" spans="1:12" ht="43.5" x14ac:dyDescent="0.35">
      <c r="A2166" s="6" t="s">
        <v>7</v>
      </c>
      <c r="B2166" s="6" t="s">
        <v>20</v>
      </c>
      <c r="C2166" s="6" t="s">
        <v>1320</v>
      </c>
      <c r="D2166" s="11" t="s">
        <v>219</v>
      </c>
      <c r="E2166" s="17" t="s">
        <v>73</v>
      </c>
      <c r="F2166" s="17" t="s">
        <v>83</v>
      </c>
      <c r="G2166" s="11" t="s">
        <v>1321</v>
      </c>
      <c r="H2166" s="11" t="s">
        <v>1322</v>
      </c>
      <c r="I2166" s="17" t="s">
        <v>138</v>
      </c>
      <c r="J2166" s="17">
        <v>16.879403281580998</v>
      </c>
      <c r="K2166" s="17">
        <v>-97.504325976163997</v>
      </c>
      <c r="L2166" s="17" t="str">
        <f>HYPERLINK("https://maps.google.com/?q=16.879403281581,-97.504325976164", "🔗 Ver Mapa")</f>
        <v>🔗 Ver Mapa</v>
      </c>
    </row>
    <row r="2167" spans="1:12" ht="43.5" x14ac:dyDescent="0.35">
      <c r="A2167" s="5" t="s">
        <v>4</v>
      </c>
      <c r="B2167" s="5" t="s">
        <v>17</v>
      </c>
      <c r="C2167" s="5" t="s">
        <v>1323</v>
      </c>
      <c r="D2167" s="8" t="s">
        <v>294</v>
      </c>
      <c r="E2167" s="16" t="s">
        <v>75</v>
      </c>
      <c r="F2167" s="16" t="s">
        <v>86</v>
      </c>
      <c r="G2167" s="8" t="s">
        <v>161</v>
      </c>
      <c r="H2167" s="8" t="s">
        <v>162</v>
      </c>
      <c r="I2167" s="16" t="s">
        <v>296</v>
      </c>
      <c r="J2167" s="16">
        <v>17.048548010000001</v>
      </c>
      <c r="K2167" s="16">
        <v>-96.636437310000005</v>
      </c>
      <c r="L2167" s="16" t="str">
        <f>HYPERLINK("https://maps.google.com/?q=17.04854801,-96.63643731", "🔗 Ver Mapa")</f>
        <v>🔗 Ver Mapa</v>
      </c>
    </row>
    <row r="2168" spans="1:12" ht="43.5" x14ac:dyDescent="0.35">
      <c r="A2168" s="6" t="s">
        <v>4</v>
      </c>
      <c r="B2168" s="6" t="s">
        <v>17</v>
      </c>
      <c r="C2168" s="6" t="s">
        <v>1323</v>
      </c>
      <c r="D2168" s="11" t="s">
        <v>294</v>
      </c>
      <c r="E2168" s="17" t="s">
        <v>75</v>
      </c>
      <c r="F2168" s="17" t="s">
        <v>86</v>
      </c>
      <c r="G2168" s="11" t="s">
        <v>161</v>
      </c>
      <c r="H2168" s="11" t="s">
        <v>162</v>
      </c>
      <c r="I2168" s="17" t="s">
        <v>296</v>
      </c>
      <c r="J2168" s="17">
        <v>17.048871819999999</v>
      </c>
      <c r="K2168" s="17">
        <v>-96.639338510000002</v>
      </c>
      <c r="L2168" s="17" t="str">
        <f>HYPERLINK("https://maps.google.com/?q=17.04887182,-96.63933851", "🔗 Ver Mapa")</f>
        <v>🔗 Ver Mapa</v>
      </c>
    </row>
    <row r="2169" spans="1:12" ht="43.5" x14ac:dyDescent="0.35">
      <c r="A2169" s="5" t="s">
        <v>4</v>
      </c>
      <c r="B2169" s="5" t="s">
        <v>17</v>
      </c>
      <c r="C2169" s="5" t="s">
        <v>1323</v>
      </c>
      <c r="D2169" s="8" t="s">
        <v>294</v>
      </c>
      <c r="E2169" s="16" t="s">
        <v>75</v>
      </c>
      <c r="F2169" s="16" t="s">
        <v>86</v>
      </c>
      <c r="G2169" s="8" t="s">
        <v>161</v>
      </c>
      <c r="H2169" s="8" t="s">
        <v>162</v>
      </c>
      <c r="I2169" s="16" t="s">
        <v>296</v>
      </c>
      <c r="J2169" s="16">
        <v>17.04895505</v>
      </c>
      <c r="K2169" s="16">
        <v>-96.636655640000001</v>
      </c>
      <c r="L2169" s="16" t="str">
        <f>HYPERLINK("https://maps.google.com/?q=17.04895505,-96.63665564", "🔗 Ver Mapa")</f>
        <v>🔗 Ver Mapa</v>
      </c>
    </row>
    <row r="2170" spans="1:12" ht="43.5" x14ac:dyDescent="0.35">
      <c r="A2170" s="6" t="s">
        <v>4</v>
      </c>
      <c r="B2170" s="6" t="s">
        <v>17</v>
      </c>
      <c r="C2170" s="6" t="s">
        <v>1323</v>
      </c>
      <c r="D2170" s="11" t="s">
        <v>294</v>
      </c>
      <c r="E2170" s="17" t="s">
        <v>75</v>
      </c>
      <c r="F2170" s="17" t="s">
        <v>86</v>
      </c>
      <c r="G2170" s="11" t="s">
        <v>161</v>
      </c>
      <c r="H2170" s="11" t="s">
        <v>162</v>
      </c>
      <c r="I2170" s="17" t="s">
        <v>296</v>
      </c>
      <c r="J2170" s="17">
        <v>17.049115149999999</v>
      </c>
      <c r="K2170" s="17">
        <v>-96.636703800000006</v>
      </c>
      <c r="L2170" s="17" t="str">
        <f>HYPERLINK("https://maps.google.com/?q=17.04911515,-96.6367038", "🔗 Ver Mapa")</f>
        <v>🔗 Ver Mapa</v>
      </c>
    </row>
    <row r="2171" spans="1:12" ht="43.5" x14ac:dyDescent="0.35">
      <c r="A2171" s="5" t="s">
        <v>4</v>
      </c>
      <c r="B2171" s="5" t="s">
        <v>17</v>
      </c>
      <c r="C2171" s="5" t="s">
        <v>1323</v>
      </c>
      <c r="D2171" s="8" t="s">
        <v>294</v>
      </c>
      <c r="E2171" s="16" t="s">
        <v>75</v>
      </c>
      <c r="F2171" s="16" t="s">
        <v>86</v>
      </c>
      <c r="G2171" s="8" t="s">
        <v>161</v>
      </c>
      <c r="H2171" s="8" t="s">
        <v>162</v>
      </c>
      <c r="I2171" s="16" t="s">
        <v>296</v>
      </c>
      <c r="J2171" s="16">
        <v>17.049225589999999</v>
      </c>
      <c r="K2171" s="16">
        <v>-96.639428629999998</v>
      </c>
      <c r="L2171" s="16" t="str">
        <f>HYPERLINK("https://maps.google.com/?q=17.04922559,-96.63942863", "🔗 Ver Mapa")</f>
        <v>🔗 Ver Mapa</v>
      </c>
    </row>
    <row r="2172" spans="1:12" ht="43.5" x14ac:dyDescent="0.35">
      <c r="A2172" s="6" t="s">
        <v>4</v>
      </c>
      <c r="B2172" s="6" t="s">
        <v>17</v>
      </c>
      <c r="C2172" s="6" t="s">
        <v>1323</v>
      </c>
      <c r="D2172" s="11" t="s">
        <v>294</v>
      </c>
      <c r="E2172" s="17" t="s">
        <v>75</v>
      </c>
      <c r="F2172" s="17" t="s">
        <v>86</v>
      </c>
      <c r="G2172" s="11" t="s">
        <v>161</v>
      </c>
      <c r="H2172" s="11" t="s">
        <v>162</v>
      </c>
      <c r="I2172" s="17" t="s">
        <v>296</v>
      </c>
      <c r="J2172" s="17">
        <v>17.049445850000001</v>
      </c>
      <c r="K2172" s="17">
        <v>-96.636892040000006</v>
      </c>
      <c r="L2172" s="17" t="str">
        <f>HYPERLINK("https://maps.google.com/?q=17.04944585,-96.63689204", "🔗 Ver Mapa")</f>
        <v>🔗 Ver Mapa</v>
      </c>
    </row>
    <row r="2173" spans="1:12" ht="43.5" x14ac:dyDescent="0.35">
      <c r="A2173" s="5" t="s">
        <v>4</v>
      </c>
      <c r="B2173" s="5" t="s">
        <v>17</v>
      </c>
      <c r="C2173" s="5" t="s">
        <v>1323</v>
      </c>
      <c r="D2173" s="8" t="s">
        <v>294</v>
      </c>
      <c r="E2173" s="16" t="s">
        <v>75</v>
      </c>
      <c r="F2173" s="16" t="s">
        <v>86</v>
      </c>
      <c r="G2173" s="8" t="s">
        <v>161</v>
      </c>
      <c r="H2173" s="8" t="s">
        <v>162</v>
      </c>
      <c r="I2173" s="16" t="s">
        <v>296</v>
      </c>
      <c r="J2173" s="16">
        <v>17.049520640000001</v>
      </c>
      <c r="K2173" s="16">
        <v>-96.636865229999998</v>
      </c>
      <c r="L2173" s="16" t="str">
        <f>HYPERLINK("https://maps.google.com/?q=17.04952064,-96.63686523", "🔗 Ver Mapa")</f>
        <v>🔗 Ver Mapa</v>
      </c>
    </row>
    <row r="2174" spans="1:12" ht="43.5" x14ac:dyDescent="0.35">
      <c r="A2174" s="6" t="s">
        <v>4</v>
      </c>
      <c r="B2174" s="6" t="s">
        <v>17</v>
      </c>
      <c r="C2174" s="6" t="s">
        <v>1323</v>
      </c>
      <c r="D2174" s="11" t="s">
        <v>294</v>
      </c>
      <c r="E2174" s="17" t="s">
        <v>75</v>
      </c>
      <c r="F2174" s="17" t="s">
        <v>86</v>
      </c>
      <c r="G2174" s="11" t="s">
        <v>161</v>
      </c>
      <c r="H2174" s="11" t="s">
        <v>162</v>
      </c>
      <c r="I2174" s="17" t="s">
        <v>296</v>
      </c>
      <c r="J2174" s="17">
        <v>17.049643209999999</v>
      </c>
      <c r="K2174" s="17">
        <v>-96.637242319999999</v>
      </c>
      <c r="L2174" s="17" t="str">
        <f>HYPERLINK("https://maps.google.com/?q=17.04964321,-96.63724232", "🔗 Ver Mapa")</f>
        <v>🔗 Ver Mapa</v>
      </c>
    </row>
    <row r="2175" spans="1:12" ht="43.5" x14ac:dyDescent="0.35">
      <c r="A2175" s="5" t="s">
        <v>4</v>
      </c>
      <c r="B2175" s="5" t="s">
        <v>17</v>
      </c>
      <c r="C2175" s="5" t="s">
        <v>1323</v>
      </c>
      <c r="D2175" s="8" t="s">
        <v>294</v>
      </c>
      <c r="E2175" s="16" t="s">
        <v>75</v>
      </c>
      <c r="F2175" s="16" t="s">
        <v>86</v>
      </c>
      <c r="G2175" s="8" t="s">
        <v>161</v>
      </c>
      <c r="H2175" s="8" t="s">
        <v>162</v>
      </c>
      <c r="I2175" s="16" t="s">
        <v>296</v>
      </c>
      <c r="J2175" s="16">
        <v>17.049699910000001</v>
      </c>
      <c r="K2175" s="16">
        <v>-96.637382860000002</v>
      </c>
      <c r="L2175" s="16" t="str">
        <f>HYPERLINK("https://maps.google.com/?q=17.04969991,-96.63738286", "🔗 Ver Mapa")</f>
        <v>🔗 Ver Mapa</v>
      </c>
    </row>
    <row r="2176" spans="1:12" ht="43.5" x14ac:dyDescent="0.35">
      <c r="A2176" s="6" t="s">
        <v>4</v>
      </c>
      <c r="B2176" s="6" t="s">
        <v>17</v>
      </c>
      <c r="C2176" s="6" t="s">
        <v>1323</v>
      </c>
      <c r="D2176" s="11" t="s">
        <v>294</v>
      </c>
      <c r="E2176" s="17" t="s">
        <v>75</v>
      </c>
      <c r="F2176" s="17" t="s">
        <v>86</v>
      </c>
      <c r="G2176" s="11" t="s">
        <v>161</v>
      </c>
      <c r="H2176" s="11" t="s">
        <v>162</v>
      </c>
      <c r="I2176" s="17" t="s">
        <v>296</v>
      </c>
      <c r="J2176" s="17">
        <v>17.049699910000001</v>
      </c>
      <c r="K2176" s="17">
        <v>-96.637382869999996</v>
      </c>
      <c r="L2176" s="17" t="str">
        <f>HYPERLINK("https://maps.google.com/?q=17.04969991,-96.63738287", "🔗 Ver Mapa")</f>
        <v>🔗 Ver Mapa</v>
      </c>
    </row>
    <row r="2177" spans="1:12" ht="43.5" x14ac:dyDescent="0.35">
      <c r="A2177" s="5" t="s">
        <v>4</v>
      </c>
      <c r="B2177" s="5" t="s">
        <v>17</v>
      </c>
      <c r="C2177" s="5" t="s">
        <v>1323</v>
      </c>
      <c r="D2177" s="8" t="s">
        <v>294</v>
      </c>
      <c r="E2177" s="16" t="s">
        <v>75</v>
      </c>
      <c r="F2177" s="16" t="s">
        <v>86</v>
      </c>
      <c r="G2177" s="8" t="s">
        <v>161</v>
      </c>
      <c r="H2177" s="8" t="s">
        <v>162</v>
      </c>
      <c r="I2177" s="16" t="s">
        <v>296</v>
      </c>
      <c r="J2177" s="16">
        <v>17.04981669</v>
      </c>
      <c r="K2177" s="16">
        <v>-96.637764930000003</v>
      </c>
      <c r="L2177" s="16" t="str">
        <f>HYPERLINK("https://maps.google.com/?q=17.04981669,-96.63776493", "🔗 Ver Mapa")</f>
        <v>🔗 Ver Mapa</v>
      </c>
    </row>
    <row r="2178" spans="1:12" ht="43.5" x14ac:dyDescent="0.35">
      <c r="A2178" s="6" t="s">
        <v>4</v>
      </c>
      <c r="B2178" s="6" t="s">
        <v>17</v>
      </c>
      <c r="C2178" s="6" t="s">
        <v>1323</v>
      </c>
      <c r="D2178" s="11" t="s">
        <v>294</v>
      </c>
      <c r="E2178" s="17" t="s">
        <v>75</v>
      </c>
      <c r="F2178" s="17" t="s">
        <v>86</v>
      </c>
      <c r="G2178" s="11" t="s">
        <v>161</v>
      </c>
      <c r="H2178" s="11" t="s">
        <v>162</v>
      </c>
      <c r="I2178" s="17" t="s">
        <v>296</v>
      </c>
      <c r="J2178" s="17">
        <v>17.049919840000001</v>
      </c>
      <c r="K2178" s="17">
        <v>-96.638075380000004</v>
      </c>
      <c r="L2178" s="17" t="str">
        <f>HYPERLINK("https://maps.google.com/?q=17.04991984,-96.63807538", "🔗 Ver Mapa")</f>
        <v>🔗 Ver Mapa</v>
      </c>
    </row>
    <row r="2179" spans="1:12" ht="43.5" x14ac:dyDescent="0.35">
      <c r="A2179" s="5" t="s">
        <v>4</v>
      </c>
      <c r="B2179" s="5" t="s">
        <v>17</v>
      </c>
      <c r="C2179" s="5" t="s">
        <v>1323</v>
      </c>
      <c r="D2179" s="8" t="s">
        <v>294</v>
      </c>
      <c r="E2179" s="16" t="s">
        <v>75</v>
      </c>
      <c r="F2179" s="16" t="s">
        <v>86</v>
      </c>
      <c r="G2179" s="8" t="s">
        <v>161</v>
      </c>
      <c r="H2179" s="8" t="s">
        <v>162</v>
      </c>
      <c r="I2179" s="16" t="s">
        <v>296</v>
      </c>
      <c r="J2179" s="16">
        <v>17.049920709999999</v>
      </c>
      <c r="K2179" s="16">
        <v>-96.639595479999997</v>
      </c>
      <c r="L2179" s="16" t="str">
        <f>HYPERLINK("https://maps.google.com/?q=17.04992071,-96.63959548", "🔗 Ver Mapa")</f>
        <v>🔗 Ver Mapa</v>
      </c>
    </row>
    <row r="2180" spans="1:12" ht="43.5" x14ac:dyDescent="0.35">
      <c r="A2180" s="6" t="s">
        <v>4</v>
      </c>
      <c r="B2180" s="6" t="s">
        <v>17</v>
      </c>
      <c r="C2180" s="6" t="s">
        <v>1323</v>
      </c>
      <c r="D2180" s="11" t="s">
        <v>294</v>
      </c>
      <c r="E2180" s="17" t="s">
        <v>75</v>
      </c>
      <c r="F2180" s="17" t="s">
        <v>86</v>
      </c>
      <c r="G2180" s="11" t="s">
        <v>161</v>
      </c>
      <c r="H2180" s="11" t="s">
        <v>162</v>
      </c>
      <c r="I2180" s="17" t="s">
        <v>296</v>
      </c>
      <c r="J2180" s="17">
        <v>17.049976149999999</v>
      </c>
      <c r="K2180" s="17">
        <v>-96.638253480000003</v>
      </c>
      <c r="L2180" s="17" t="str">
        <f>HYPERLINK("https://maps.google.com/?q=17.04997615,-96.63825348", "🔗 Ver Mapa")</f>
        <v>🔗 Ver Mapa</v>
      </c>
    </row>
    <row r="2181" spans="1:12" ht="43.5" x14ac:dyDescent="0.35">
      <c r="A2181" s="5" t="s">
        <v>4</v>
      </c>
      <c r="B2181" s="5" t="s">
        <v>17</v>
      </c>
      <c r="C2181" s="5" t="s">
        <v>1323</v>
      </c>
      <c r="D2181" s="8" t="s">
        <v>294</v>
      </c>
      <c r="E2181" s="16" t="s">
        <v>75</v>
      </c>
      <c r="F2181" s="16" t="s">
        <v>86</v>
      </c>
      <c r="G2181" s="8" t="s">
        <v>161</v>
      </c>
      <c r="H2181" s="8" t="s">
        <v>162</v>
      </c>
      <c r="I2181" s="16" t="s">
        <v>296</v>
      </c>
      <c r="J2181" s="16">
        <v>17.0499762</v>
      </c>
      <c r="K2181" s="16">
        <v>-96.638253469999995</v>
      </c>
      <c r="L2181" s="16" t="str">
        <f>HYPERLINK("https://maps.google.com/?q=17.0499762,-96.63825347", "🔗 Ver Mapa")</f>
        <v>🔗 Ver Mapa</v>
      </c>
    </row>
    <row r="2182" spans="1:12" ht="43.5" x14ac:dyDescent="0.35">
      <c r="A2182" s="6" t="s">
        <v>4</v>
      </c>
      <c r="B2182" s="6" t="s">
        <v>17</v>
      </c>
      <c r="C2182" s="6" t="s">
        <v>1323</v>
      </c>
      <c r="D2182" s="11" t="s">
        <v>294</v>
      </c>
      <c r="E2182" s="17" t="s">
        <v>75</v>
      </c>
      <c r="F2182" s="17" t="s">
        <v>86</v>
      </c>
      <c r="G2182" s="11" t="s">
        <v>161</v>
      </c>
      <c r="H2182" s="11" t="s">
        <v>162</v>
      </c>
      <c r="I2182" s="17" t="s">
        <v>296</v>
      </c>
      <c r="J2182" s="17">
        <v>17.050006870000001</v>
      </c>
      <c r="K2182" s="17">
        <v>-96.637263619999999</v>
      </c>
      <c r="L2182" s="17" t="str">
        <f>HYPERLINK("https://maps.google.com/?q=17.05000687,-96.63726362", "🔗 Ver Mapa")</f>
        <v>🔗 Ver Mapa</v>
      </c>
    </row>
    <row r="2183" spans="1:12" ht="43.5" x14ac:dyDescent="0.35">
      <c r="A2183" s="5" t="s">
        <v>4</v>
      </c>
      <c r="B2183" s="5" t="s">
        <v>17</v>
      </c>
      <c r="C2183" s="5" t="s">
        <v>1323</v>
      </c>
      <c r="D2183" s="8" t="s">
        <v>294</v>
      </c>
      <c r="E2183" s="16" t="s">
        <v>75</v>
      </c>
      <c r="F2183" s="16" t="s">
        <v>86</v>
      </c>
      <c r="G2183" s="8" t="s">
        <v>161</v>
      </c>
      <c r="H2183" s="8" t="s">
        <v>162</v>
      </c>
      <c r="I2183" s="16" t="s">
        <v>296</v>
      </c>
      <c r="J2183" s="16">
        <v>17.05002035</v>
      </c>
      <c r="K2183" s="16">
        <v>-96.638389829999994</v>
      </c>
      <c r="L2183" s="16" t="str">
        <f>HYPERLINK("https://maps.google.com/?q=17.05002035,-96.63838983", "🔗 Ver Mapa")</f>
        <v>🔗 Ver Mapa</v>
      </c>
    </row>
    <row r="2184" spans="1:12" ht="43.5" x14ac:dyDescent="0.35">
      <c r="A2184" s="6" t="s">
        <v>4</v>
      </c>
      <c r="B2184" s="6" t="s">
        <v>17</v>
      </c>
      <c r="C2184" s="6" t="s">
        <v>1323</v>
      </c>
      <c r="D2184" s="11" t="s">
        <v>294</v>
      </c>
      <c r="E2184" s="17" t="s">
        <v>75</v>
      </c>
      <c r="F2184" s="17" t="s">
        <v>86</v>
      </c>
      <c r="G2184" s="11" t="s">
        <v>161</v>
      </c>
      <c r="H2184" s="11" t="s">
        <v>162</v>
      </c>
      <c r="I2184" s="17" t="s">
        <v>296</v>
      </c>
      <c r="J2184" s="17">
        <v>17.05012683</v>
      </c>
      <c r="K2184" s="17">
        <v>-96.638841929999998</v>
      </c>
      <c r="L2184" s="17" t="str">
        <f>HYPERLINK("https://maps.google.com/?q=17.05012683,-96.63884193", "🔗 Ver Mapa")</f>
        <v>🔗 Ver Mapa</v>
      </c>
    </row>
    <row r="2185" spans="1:12" ht="43.5" x14ac:dyDescent="0.35">
      <c r="A2185" s="5" t="s">
        <v>4</v>
      </c>
      <c r="B2185" s="5" t="s">
        <v>17</v>
      </c>
      <c r="C2185" s="5" t="s">
        <v>1323</v>
      </c>
      <c r="D2185" s="8" t="s">
        <v>294</v>
      </c>
      <c r="E2185" s="16" t="s">
        <v>75</v>
      </c>
      <c r="F2185" s="16" t="s">
        <v>86</v>
      </c>
      <c r="G2185" s="8" t="s">
        <v>161</v>
      </c>
      <c r="H2185" s="8" t="s">
        <v>162</v>
      </c>
      <c r="I2185" s="16" t="s">
        <v>296</v>
      </c>
      <c r="J2185" s="16">
        <v>17.050128619999999</v>
      </c>
      <c r="K2185" s="16">
        <v>-96.637049289999993</v>
      </c>
      <c r="L2185" s="16" t="str">
        <f>HYPERLINK("https://maps.google.com/?q=17.05012862,-96.63704929", "🔗 Ver Mapa")</f>
        <v>🔗 Ver Mapa</v>
      </c>
    </row>
    <row r="2186" spans="1:12" ht="43.5" x14ac:dyDescent="0.35">
      <c r="A2186" s="6" t="s">
        <v>4</v>
      </c>
      <c r="B2186" s="6" t="s">
        <v>17</v>
      </c>
      <c r="C2186" s="6" t="s">
        <v>1323</v>
      </c>
      <c r="D2186" s="11" t="s">
        <v>294</v>
      </c>
      <c r="E2186" s="17" t="s">
        <v>75</v>
      </c>
      <c r="F2186" s="17" t="s">
        <v>86</v>
      </c>
      <c r="G2186" s="11" t="s">
        <v>161</v>
      </c>
      <c r="H2186" s="11" t="s">
        <v>162</v>
      </c>
      <c r="I2186" s="17" t="s">
        <v>296</v>
      </c>
      <c r="J2186" s="17">
        <v>17.050147370000001</v>
      </c>
      <c r="K2186" s="17">
        <v>-96.636640510000007</v>
      </c>
      <c r="L2186" s="17" t="str">
        <f>HYPERLINK("https://maps.google.com/?q=17.05014737,-96.63664051", "🔗 Ver Mapa")</f>
        <v>🔗 Ver Mapa</v>
      </c>
    </row>
    <row r="2187" spans="1:12" ht="43.5" x14ac:dyDescent="0.35">
      <c r="A2187" s="5" t="s">
        <v>4</v>
      </c>
      <c r="B2187" s="5" t="s">
        <v>17</v>
      </c>
      <c r="C2187" s="5" t="s">
        <v>1323</v>
      </c>
      <c r="D2187" s="8" t="s">
        <v>294</v>
      </c>
      <c r="E2187" s="16" t="s">
        <v>75</v>
      </c>
      <c r="F2187" s="16" t="s">
        <v>86</v>
      </c>
      <c r="G2187" s="8" t="s">
        <v>161</v>
      </c>
      <c r="H2187" s="8" t="s">
        <v>162</v>
      </c>
      <c r="I2187" s="16" t="s">
        <v>296</v>
      </c>
      <c r="J2187" s="16">
        <v>17.05024534</v>
      </c>
      <c r="K2187" s="16">
        <v>-96.639295450000006</v>
      </c>
      <c r="L2187" s="16" t="str">
        <f>HYPERLINK("https://maps.google.com/?q=17.05024534,-96.63929545", "🔗 Ver Mapa")</f>
        <v>🔗 Ver Mapa</v>
      </c>
    </row>
    <row r="2188" spans="1:12" ht="43.5" x14ac:dyDescent="0.35">
      <c r="A2188" s="6" t="s">
        <v>4</v>
      </c>
      <c r="B2188" s="6" t="s">
        <v>17</v>
      </c>
      <c r="C2188" s="6" t="s">
        <v>1323</v>
      </c>
      <c r="D2188" s="11" t="s">
        <v>294</v>
      </c>
      <c r="E2188" s="17" t="s">
        <v>75</v>
      </c>
      <c r="F2188" s="17" t="s">
        <v>86</v>
      </c>
      <c r="G2188" s="11" t="s">
        <v>161</v>
      </c>
      <c r="H2188" s="11" t="s">
        <v>162</v>
      </c>
      <c r="I2188" s="17" t="s">
        <v>296</v>
      </c>
      <c r="J2188" s="17">
        <v>17.050342350000001</v>
      </c>
      <c r="K2188" s="17">
        <v>-96.639660550000002</v>
      </c>
      <c r="L2188" s="17" t="str">
        <f>HYPERLINK("https://maps.google.com/?q=17.05034235,-96.63966055", "🔗 Ver Mapa")</f>
        <v>🔗 Ver Mapa</v>
      </c>
    </row>
    <row r="2189" spans="1:12" ht="43.5" x14ac:dyDescent="0.35">
      <c r="A2189" s="5" t="s">
        <v>4</v>
      </c>
      <c r="B2189" s="5" t="s">
        <v>17</v>
      </c>
      <c r="C2189" s="5" t="s">
        <v>1323</v>
      </c>
      <c r="D2189" s="8" t="s">
        <v>294</v>
      </c>
      <c r="E2189" s="16" t="s">
        <v>75</v>
      </c>
      <c r="F2189" s="16" t="s">
        <v>86</v>
      </c>
      <c r="G2189" s="8" t="s">
        <v>161</v>
      </c>
      <c r="H2189" s="8" t="s">
        <v>162</v>
      </c>
      <c r="I2189" s="16" t="s">
        <v>296</v>
      </c>
      <c r="J2189" s="16">
        <v>17.050407289999999</v>
      </c>
      <c r="K2189" s="16">
        <v>-96.638086220000005</v>
      </c>
      <c r="L2189" s="16" t="str">
        <f>HYPERLINK("https://maps.google.com/?q=17.05040729,-96.63808622", "🔗 Ver Mapa")</f>
        <v>🔗 Ver Mapa</v>
      </c>
    </row>
    <row r="2190" spans="1:12" ht="43.5" x14ac:dyDescent="0.35">
      <c r="A2190" s="6" t="s">
        <v>4</v>
      </c>
      <c r="B2190" s="6" t="s">
        <v>17</v>
      </c>
      <c r="C2190" s="6" t="s">
        <v>1323</v>
      </c>
      <c r="D2190" s="11" t="s">
        <v>294</v>
      </c>
      <c r="E2190" s="17" t="s">
        <v>75</v>
      </c>
      <c r="F2190" s="17" t="s">
        <v>86</v>
      </c>
      <c r="G2190" s="11" t="s">
        <v>161</v>
      </c>
      <c r="H2190" s="11" t="s">
        <v>162</v>
      </c>
      <c r="I2190" s="17" t="s">
        <v>296</v>
      </c>
      <c r="J2190" s="17">
        <v>17.050424230000001</v>
      </c>
      <c r="K2190" s="17">
        <v>-96.636536160000006</v>
      </c>
      <c r="L2190" s="17" t="str">
        <f>HYPERLINK("https://maps.google.com/?q=17.05042423,-96.63653616", "🔗 Ver Mapa")</f>
        <v>🔗 Ver Mapa</v>
      </c>
    </row>
    <row r="2191" spans="1:12" ht="43.5" x14ac:dyDescent="0.35">
      <c r="A2191" s="5" t="s">
        <v>4</v>
      </c>
      <c r="B2191" s="5" t="s">
        <v>17</v>
      </c>
      <c r="C2191" s="5" t="s">
        <v>1323</v>
      </c>
      <c r="D2191" s="8" t="s">
        <v>294</v>
      </c>
      <c r="E2191" s="16" t="s">
        <v>75</v>
      </c>
      <c r="F2191" s="16" t="s">
        <v>86</v>
      </c>
      <c r="G2191" s="8" t="s">
        <v>161</v>
      </c>
      <c r="H2191" s="8" t="s">
        <v>162</v>
      </c>
      <c r="I2191" s="16" t="s">
        <v>296</v>
      </c>
      <c r="J2191" s="16">
        <v>17.0505025</v>
      </c>
      <c r="K2191" s="16">
        <v>-96.637859689999999</v>
      </c>
      <c r="L2191" s="16" t="str">
        <f>HYPERLINK("https://maps.google.com/?q=17.0505025,-96.63785969", "🔗 Ver Mapa")</f>
        <v>🔗 Ver Mapa</v>
      </c>
    </row>
    <row r="2192" spans="1:12" ht="43.5" x14ac:dyDescent="0.35">
      <c r="A2192" s="6" t="s">
        <v>4</v>
      </c>
      <c r="B2192" s="6" t="s">
        <v>17</v>
      </c>
      <c r="C2192" s="6" t="s">
        <v>1323</v>
      </c>
      <c r="D2192" s="11" t="s">
        <v>294</v>
      </c>
      <c r="E2192" s="17" t="s">
        <v>75</v>
      </c>
      <c r="F2192" s="17" t="s">
        <v>86</v>
      </c>
      <c r="G2192" s="11" t="s">
        <v>161</v>
      </c>
      <c r="H2192" s="11" t="s">
        <v>162</v>
      </c>
      <c r="I2192" s="17" t="s">
        <v>296</v>
      </c>
      <c r="J2192" s="17">
        <v>17.050601960000002</v>
      </c>
      <c r="K2192" s="17">
        <v>-96.638170880000004</v>
      </c>
      <c r="L2192" s="17" t="str">
        <f>HYPERLINK("https://maps.google.com/?q=17.05060196,-96.63817088", "🔗 Ver Mapa")</f>
        <v>🔗 Ver Mapa</v>
      </c>
    </row>
    <row r="2193" spans="1:12" ht="43.5" x14ac:dyDescent="0.35">
      <c r="A2193" s="5" t="s">
        <v>4</v>
      </c>
      <c r="B2193" s="5" t="s">
        <v>17</v>
      </c>
      <c r="C2193" s="5" t="s">
        <v>1323</v>
      </c>
      <c r="D2193" s="8" t="s">
        <v>294</v>
      </c>
      <c r="E2193" s="16" t="s">
        <v>75</v>
      </c>
      <c r="F2193" s="16" t="s">
        <v>86</v>
      </c>
      <c r="G2193" s="8" t="s">
        <v>161</v>
      </c>
      <c r="H2193" s="8" t="s">
        <v>162</v>
      </c>
      <c r="I2193" s="16" t="s">
        <v>296</v>
      </c>
      <c r="J2193" s="16">
        <v>17.050604069999999</v>
      </c>
      <c r="K2193" s="16">
        <v>-96.636873469999998</v>
      </c>
      <c r="L2193" s="16" t="str">
        <f>HYPERLINK("https://maps.google.com/?q=17.05060407,-96.63687347", "🔗 Ver Mapa")</f>
        <v>🔗 Ver Mapa</v>
      </c>
    </row>
    <row r="2194" spans="1:12" ht="43.5" x14ac:dyDescent="0.35">
      <c r="A2194" s="6" t="s">
        <v>4</v>
      </c>
      <c r="B2194" s="6" t="s">
        <v>17</v>
      </c>
      <c r="C2194" s="6" t="s">
        <v>1323</v>
      </c>
      <c r="D2194" s="11" t="s">
        <v>294</v>
      </c>
      <c r="E2194" s="17" t="s">
        <v>75</v>
      </c>
      <c r="F2194" s="17" t="s">
        <v>86</v>
      </c>
      <c r="G2194" s="11" t="s">
        <v>161</v>
      </c>
      <c r="H2194" s="11" t="s">
        <v>162</v>
      </c>
      <c r="I2194" s="17" t="s">
        <v>296</v>
      </c>
      <c r="J2194" s="17">
        <v>17.050879179999999</v>
      </c>
      <c r="K2194" s="17">
        <v>-96.637909089999994</v>
      </c>
      <c r="L2194" s="17" t="str">
        <f>HYPERLINK("https://maps.google.com/?q=17.05087918,-96.63790909", "🔗 Ver Mapa")</f>
        <v>🔗 Ver Mapa</v>
      </c>
    </row>
    <row r="2195" spans="1:12" ht="43.5" x14ac:dyDescent="0.35">
      <c r="A2195" s="5" t="s">
        <v>4</v>
      </c>
      <c r="B2195" s="5" t="s">
        <v>17</v>
      </c>
      <c r="C2195" s="5" t="s">
        <v>1323</v>
      </c>
      <c r="D2195" s="8" t="s">
        <v>294</v>
      </c>
      <c r="E2195" s="16" t="s">
        <v>75</v>
      </c>
      <c r="F2195" s="16" t="s">
        <v>86</v>
      </c>
      <c r="G2195" s="8" t="s">
        <v>161</v>
      </c>
      <c r="H2195" s="8" t="s">
        <v>162</v>
      </c>
      <c r="I2195" s="16" t="s">
        <v>296</v>
      </c>
      <c r="J2195" s="16">
        <v>17.050932329999998</v>
      </c>
      <c r="K2195" s="16">
        <v>-96.638548720000003</v>
      </c>
      <c r="L2195" s="16" t="str">
        <f>HYPERLINK("https://maps.google.com/?q=17.05093233,-96.63854872", "🔗 Ver Mapa")</f>
        <v>🔗 Ver Mapa</v>
      </c>
    </row>
    <row r="2196" spans="1:12" ht="43.5" x14ac:dyDescent="0.35">
      <c r="A2196" s="6" t="s">
        <v>4</v>
      </c>
      <c r="B2196" s="6" t="s">
        <v>17</v>
      </c>
      <c r="C2196" s="6" t="s">
        <v>1323</v>
      </c>
      <c r="D2196" s="11" t="s">
        <v>294</v>
      </c>
      <c r="E2196" s="17" t="s">
        <v>75</v>
      </c>
      <c r="F2196" s="17" t="s">
        <v>86</v>
      </c>
      <c r="G2196" s="11" t="s">
        <v>161</v>
      </c>
      <c r="H2196" s="11" t="s">
        <v>162</v>
      </c>
      <c r="I2196" s="17" t="s">
        <v>296</v>
      </c>
      <c r="J2196" s="17">
        <v>17.05107087</v>
      </c>
      <c r="K2196" s="17">
        <v>-96.637635299999999</v>
      </c>
      <c r="L2196" s="17" t="str">
        <f>HYPERLINK("https://maps.google.com/?q=17.05107087,-96.6376353", "🔗 Ver Mapa")</f>
        <v>🔗 Ver Mapa</v>
      </c>
    </row>
    <row r="2197" spans="1:12" ht="43.5" x14ac:dyDescent="0.35">
      <c r="A2197" s="5" t="s">
        <v>4</v>
      </c>
      <c r="B2197" s="5" t="s">
        <v>17</v>
      </c>
      <c r="C2197" s="5" t="s">
        <v>1323</v>
      </c>
      <c r="D2197" s="8" t="s">
        <v>294</v>
      </c>
      <c r="E2197" s="16" t="s">
        <v>75</v>
      </c>
      <c r="F2197" s="16" t="s">
        <v>86</v>
      </c>
      <c r="G2197" s="8" t="s">
        <v>161</v>
      </c>
      <c r="H2197" s="8" t="s">
        <v>162</v>
      </c>
      <c r="I2197" s="16" t="s">
        <v>296</v>
      </c>
      <c r="J2197" s="16">
        <v>17.051149689999999</v>
      </c>
      <c r="K2197" s="16">
        <v>-96.636259670000001</v>
      </c>
      <c r="L2197" s="16" t="str">
        <f>HYPERLINK("https://maps.google.com/?q=17.05114969,-96.63625967", "🔗 Ver Mapa")</f>
        <v>🔗 Ver Mapa</v>
      </c>
    </row>
    <row r="2198" spans="1:12" ht="43.5" x14ac:dyDescent="0.35">
      <c r="A2198" s="6" t="s">
        <v>4</v>
      </c>
      <c r="B2198" s="6" t="s">
        <v>17</v>
      </c>
      <c r="C2198" s="6" t="s">
        <v>1323</v>
      </c>
      <c r="D2198" s="11" t="s">
        <v>294</v>
      </c>
      <c r="E2198" s="17" t="s">
        <v>75</v>
      </c>
      <c r="F2198" s="17" t="s">
        <v>86</v>
      </c>
      <c r="G2198" s="11" t="s">
        <v>161</v>
      </c>
      <c r="H2198" s="11" t="s">
        <v>162</v>
      </c>
      <c r="I2198" s="17" t="s">
        <v>296</v>
      </c>
      <c r="J2198" s="17">
        <v>17.051207959999999</v>
      </c>
      <c r="K2198" s="17">
        <v>-96.639641740000002</v>
      </c>
      <c r="L2198" s="17" t="str">
        <f>HYPERLINK("https://maps.google.com/?q=17.05120796,-96.63964174", "🔗 Ver Mapa")</f>
        <v>🔗 Ver Mapa</v>
      </c>
    </row>
    <row r="2199" spans="1:12" ht="43.5" x14ac:dyDescent="0.35">
      <c r="A2199" s="5" t="s">
        <v>4</v>
      </c>
      <c r="B2199" s="5" t="s">
        <v>17</v>
      </c>
      <c r="C2199" s="5" t="s">
        <v>1323</v>
      </c>
      <c r="D2199" s="8" t="s">
        <v>294</v>
      </c>
      <c r="E2199" s="16" t="s">
        <v>75</v>
      </c>
      <c r="F2199" s="16" t="s">
        <v>86</v>
      </c>
      <c r="G2199" s="8" t="s">
        <v>161</v>
      </c>
      <c r="H2199" s="8" t="s">
        <v>162</v>
      </c>
      <c r="I2199" s="16" t="s">
        <v>296</v>
      </c>
      <c r="J2199" s="16">
        <v>17.051270070000001</v>
      </c>
      <c r="K2199" s="16">
        <v>-96.637919359999998</v>
      </c>
      <c r="L2199" s="16" t="str">
        <f>HYPERLINK("https://maps.google.com/?q=17.05127007,-96.63791936", "🔗 Ver Mapa")</f>
        <v>🔗 Ver Mapa</v>
      </c>
    </row>
    <row r="2200" spans="1:12" ht="43.5" x14ac:dyDescent="0.35">
      <c r="A2200" s="6" t="s">
        <v>4</v>
      </c>
      <c r="B2200" s="6" t="s">
        <v>17</v>
      </c>
      <c r="C2200" s="6" t="s">
        <v>1323</v>
      </c>
      <c r="D2200" s="11" t="s">
        <v>294</v>
      </c>
      <c r="E2200" s="17" t="s">
        <v>75</v>
      </c>
      <c r="F2200" s="17" t="s">
        <v>86</v>
      </c>
      <c r="G2200" s="11" t="s">
        <v>161</v>
      </c>
      <c r="H2200" s="11" t="s">
        <v>162</v>
      </c>
      <c r="I2200" s="17" t="s">
        <v>296</v>
      </c>
      <c r="J2200" s="17">
        <v>17.051469279999999</v>
      </c>
      <c r="K2200" s="17">
        <v>-96.636890410000007</v>
      </c>
      <c r="L2200" s="17" t="str">
        <f>HYPERLINK("https://maps.google.com/?q=17.05146928,-96.63689041", "🔗 Ver Mapa")</f>
        <v>🔗 Ver Mapa</v>
      </c>
    </row>
    <row r="2201" spans="1:12" ht="43.5" x14ac:dyDescent="0.35">
      <c r="A2201" s="5" t="s">
        <v>4</v>
      </c>
      <c r="B2201" s="5" t="s">
        <v>17</v>
      </c>
      <c r="C2201" s="5" t="s">
        <v>1323</v>
      </c>
      <c r="D2201" s="8" t="s">
        <v>294</v>
      </c>
      <c r="E2201" s="16" t="s">
        <v>75</v>
      </c>
      <c r="F2201" s="16" t="s">
        <v>86</v>
      </c>
      <c r="G2201" s="8" t="s">
        <v>161</v>
      </c>
      <c r="H2201" s="8" t="s">
        <v>162</v>
      </c>
      <c r="I2201" s="16" t="s">
        <v>296</v>
      </c>
      <c r="J2201" s="16">
        <v>17.05164817</v>
      </c>
      <c r="K2201" s="16">
        <v>-96.639509399999994</v>
      </c>
      <c r="L2201" s="16" t="str">
        <f>HYPERLINK("https://maps.google.com/?q=17.05164817,-96.6395094", "🔗 Ver Mapa")</f>
        <v>🔗 Ver Mapa</v>
      </c>
    </row>
    <row r="2202" spans="1:12" ht="43.5" x14ac:dyDescent="0.35">
      <c r="A2202" s="6" t="s">
        <v>4</v>
      </c>
      <c r="B2202" s="6" t="s">
        <v>17</v>
      </c>
      <c r="C2202" s="6" t="s">
        <v>1323</v>
      </c>
      <c r="D2202" s="11" t="s">
        <v>294</v>
      </c>
      <c r="E2202" s="17" t="s">
        <v>75</v>
      </c>
      <c r="F2202" s="17" t="s">
        <v>86</v>
      </c>
      <c r="G2202" s="11" t="s">
        <v>161</v>
      </c>
      <c r="H2202" s="11" t="s">
        <v>162</v>
      </c>
      <c r="I2202" s="17" t="s">
        <v>296</v>
      </c>
      <c r="J2202" s="17">
        <v>17.051864670000001</v>
      </c>
      <c r="K2202" s="17">
        <v>-96.637670810000003</v>
      </c>
      <c r="L2202" s="17" t="str">
        <f>HYPERLINK("https://maps.google.com/?q=17.05186467,-96.63767081", "🔗 Ver Mapa")</f>
        <v>🔗 Ver Mapa</v>
      </c>
    </row>
    <row r="2203" spans="1:12" ht="43.5" x14ac:dyDescent="0.35">
      <c r="A2203" s="5" t="s">
        <v>4</v>
      </c>
      <c r="B2203" s="5" t="s">
        <v>17</v>
      </c>
      <c r="C2203" s="5" t="s">
        <v>1323</v>
      </c>
      <c r="D2203" s="8" t="s">
        <v>294</v>
      </c>
      <c r="E2203" s="16" t="s">
        <v>75</v>
      </c>
      <c r="F2203" s="16" t="s">
        <v>86</v>
      </c>
      <c r="G2203" s="8" t="s">
        <v>161</v>
      </c>
      <c r="H2203" s="8" t="s">
        <v>162</v>
      </c>
      <c r="I2203" s="16" t="s">
        <v>296</v>
      </c>
      <c r="J2203" s="16">
        <v>17.052227810000002</v>
      </c>
      <c r="K2203" s="16">
        <v>-96.638382710000002</v>
      </c>
      <c r="L2203" s="16" t="str">
        <f>HYPERLINK("https://maps.google.com/?q=17.05222781,-96.63838271", "🔗 Ver Mapa")</f>
        <v>🔗 Ver Mapa</v>
      </c>
    </row>
    <row r="2204" spans="1:12" ht="43.5" x14ac:dyDescent="0.35">
      <c r="A2204" s="6" t="s">
        <v>4</v>
      </c>
      <c r="B2204" s="6" t="s">
        <v>17</v>
      </c>
      <c r="C2204" s="6" t="s">
        <v>1323</v>
      </c>
      <c r="D2204" s="11" t="s">
        <v>294</v>
      </c>
      <c r="E2204" s="17" t="s">
        <v>75</v>
      </c>
      <c r="F2204" s="17" t="s">
        <v>86</v>
      </c>
      <c r="G2204" s="11" t="s">
        <v>161</v>
      </c>
      <c r="H2204" s="11" t="s">
        <v>162</v>
      </c>
      <c r="I2204" s="17" t="s">
        <v>296</v>
      </c>
      <c r="J2204" s="17">
        <v>17.052581799999999</v>
      </c>
      <c r="K2204" s="17">
        <v>-96.639148840000004</v>
      </c>
      <c r="L2204" s="17" t="str">
        <f>HYPERLINK("https://maps.google.com/?q=17.0525818,-96.63914884", "🔗 Ver Mapa")</f>
        <v>🔗 Ver Mapa</v>
      </c>
    </row>
    <row r="2205" spans="1:12" ht="43.5" x14ac:dyDescent="0.35">
      <c r="A2205" s="5" t="s">
        <v>4</v>
      </c>
      <c r="B2205" s="5" t="s">
        <v>17</v>
      </c>
      <c r="C2205" s="5" t="s">
        <v>1323</v>
      </c>
      <c r="D2205" s="8" t="s">
        <v>294</v>
      </c>
      <c r="E2205" s="16" t="s">
        <v>75</v>
      </c>
      <c r="F2205" s="16" t="s">
        <v>86</v>
      </c>
      <c r="G2205" s="8" t="s">
        <v>161</v>
      </c>
      <c r="H2205" s="8" t="s">
        <v>162</v>
      </c>
      <c r="I2205" s="16" t="s">
        <v>296</v>
      </c>
      <c r="J2205" s="16">
        <v>17.052959820000002</v>
      </c>
      <c r="K2205" s="16">
        <v>-96.639887340000001</v>
      </c>
      <c r="L2205" s="16" t="str">
        <f>HYPERLINK("https://maps.google.com/?q=17.05295982,-96.63988734", "🔗 Ver Mapa")</f>
        <v>🔗 Ver Mapa</v>
      </c>
    </row>
    <row r="2206" spans="1:12" ht="58" x14ac:dyDescent="0.35">
      <c r="A2206" s="6" t="s">
        <v>1</v>
      </c>
      <c r="B2206" s="6" t="s">
        <v>14</v>
      </c>
      <c r="C2206" s="6" t="s">
        <v>1324</v>
      </c>
      <c r="D2206" s="11" t="s">
        <v>61</v>
      </c>
      <c r="E2206" s="17" t="s">
        <v>79</v>
      </c>
      <c r="F2206" s="17" t="s">
        <v>195</v>
      </c>
      <c r="G2206" s="11" t="s">
        <v>1136</v>
      </c>
      <c r="H2206" s="11" t="s">
        <v>1325</v>
      </c>
      <c r="I2206" s="17" t="s">
        <v>138</v>
      </c>
      <c r="J2206" s="17">
        <v>16.124654</v>
      </c>
      <c r="K2206" s="17">
        <v>-96.670631999999998</v>
      </c>
      <c r="L2206" s="17" t="str">
        <f>HYPERLINK("https://maps.google.com/?q=16.124654,-96.670632", "🔗 Ver Mapa")</f>
        <v>🔗 Ver Mapa</v>
      </c>
    </row>
    <row r="2207" spans="1:12" ht="43.5" x14ac:dyDescent="0.35">
      <c r="A2207" s="5" t="s">
        <v>4</v>
      </c>
      <c r="B2207" s="5" t="s">
        <v>17</v>
      </c>
      <c r="C2207" s="5" t="s">
        <v>1326</v>
      </c>
      <c r="D2207" s="8" t="s">
        <v>64</v>
      </c>
      <c r="E2207" s="16" t="s">
        <v>75</v>
      </c>
      <c r="F2207" s="16" t="s">
        <v>149</v>
      </c>
      <c r="G2207" s="8" t="s">
        <v>1327</v>
      </c>
      <c r="H2207" s="8" t="s">
        <v>1328</v>
      </c>
      <c r="I2207" s="16" t="s">
        <v>296</v>
      </c>
      <c r="J2207" s="16">
        <v>16.635541420191998</v>
      </c>
      <c r="K2207" s="16">
        <v>-96.546100214915</v>
      </c>
      <c r="L2207" s="16" t="str">
        <f>HYPERLINK("https://maps.google.com/?q=16.635541420192,-96.546100214915", "🔗 Ver Mapa")</f>
        <v>🔗 Ver Mapa</v>
      </c>
    </row>
    <row r="2208" spans="1:12" ht="43.5" x14ac:dyDescent="0.35">
      <c r="A2208" s="6" t="s">
        <v>4</v>
      </c>
      <c r="B2208" s="6" t="s">
        <v>17</v>
      </c>
      <c r="C2208" s="6" t="s">
        <v>1326</v>
      </c>
      <c r="D2208" s="11" t="s">
        <v>64</v>
      </c>
      <c r="E2208" s="17" t="s">
        <v>75</v>
      </c>
      <c r="F2208" s="17" t="s">
        <v>149</v>
      </c>
      <c r="G2208" s="11" t="s">
        <v>1327</v>
      </c>
      <c r="H2208" s="11" t="s">
        <v>1328</v>
      </c>
      <c r="I2208" s="17" t="s">
        <v>296</v>
      </c>
      <c r="J2208" s="17">
        <v>16.635559918717</v>
      </c>
      <c r="K2208" s="17">
        <v>-96.547664688012006</v>
      </c>
      <c r="L2208" s="17" t="str">
        <f>HYPERLINK("https://maps.google.com/?q=16.635559918717,-96.547664688012", "🔗 Ver Mapa")</f>
        <v>🔗 Ver Mapa</v>
      </c>
    </row>
    <row r="2209" spans="1:12" ht="43.5" x14ac:dyDescent="0.35">
      <c r="A2209" s="5" t="s">
        <v>4</v>
      </c>
      <c r="B2209" s="5" t="s">
        <v>17</v>
      </c>
      <c r="C2209" s="5" t="s">
        <v>1326</v>
      </c>
      <c r="D2209" s="8" t="s">
        <v>64</v>
      </c>
      <c r="E2209" s="16" t="s">
        <v>75</v>
      </c>
      <c r="F2209" s="16" t="s">
        <v>149</v>
      </c>
      <c r="G2209" s="8" t="s">
        <v>1327</v>
      </c>
      <c r="H2209" s="8" t="s">
        <v>1328</v>
      </c>
      <c r="I2209" s="16" t="s">
        <v>296</v>
      </c>
      <c r="J2209" s="16">
        <v>16.635650787814999</v>
      </c>
      <c r="K2209" s="16">
        <v>-96.547710379956996</v>
      </c>
      <c r="L2209" s="16" t="str">
        <f>HYPERLINK("https://maps.google.com/?q=16.635650787815,-96.547710379957", "🔗 Ver Mapa")</f>
        <v>🔗 Ver Mapa</v>
      </c>
    </row>
    <row r="2210" spans="1:12" ht="43.5" x14ac:dyDescent="0.35">
      <c r="A2210" s="6" t="s">
        <v>4</v>
      </c>
      <c r="B2210" s="6" t="s">
        <v>17</v>
      </c>
      <c r="C2210" s="6" t="s">
        <v>1326</v>
      </c>
      <c r="D2210" s="11" t="s">
        <v>64</v>
      </c>
      <c r="E2210" s="17" t="s">
        <v>75</v>
      </c>
      <c r="F2210" s="17" t="s">
        <v>149</v>
      </c>
      <c r="G2210" s="11" t="s">
        <v>1327</v>
      </c>
      <c r="H2210" s="11" t="s">
        <v>1328</v>
      </c>
      <c r="I2210" s="17" t="s">
        <v>296</v>
      </c>
      <c r="J2210" s="17">
        <v>16.635662981458001</v>
      </c>
      <c r="K2210" s="17">
        <v>-96.547213640297997</v>
      </c>
      <c r="L2210" s="17" t="str">
        <f>HYPERLINK("https://maps.google.com/?q=16.635662981458,-96.547213640298", "🔗 Ver Mapa")</f>
        <v>🔗 Ver Mapa</v>
      </c>
    </row>
    <row r="2211" spans="1:12" ht="43.5" x14ac:dyDescent="0.35">
      <c r="A2211" s="5" t="s">
        <v>4</v>
      </c>
      <c r="B2211" s="5" t="s">
        <v>17</v>
      </c>
      <c r="C2211" s="5" t="s">
        <v>1326</v>
      </c>
      <c r="D2211" s="8" t="s">
        <v>64</v>
      </c>
      <c r="E2211" s="16" t="s">
        <v>75</v>
      </c>
      <c r="F2211" s="16" t="s">
        <v>149</v>
      </c>
      <c r="G2211" s="8" t="s">
        <v>1327</v>
      </c>
      <c r="H2211" s="8" t="s">
        <v>1328</v>
      </c>
      <c r="I2211" s="16" t="s">
        <v>296</v>
      </c>
      <c r="J2211" s="16">
        <v>16.635839735508998</v>
      </c>
      <c r="K2211" s="16">
        <v>-96.546883458498002</v>
      </c>
      <c r="L2211" s="16" t="str">
        <f>HYPERLINK("https://maps.google.com/?q=16.635839735509,-96.546883458498", "🔗 Ver Mapa")</f>
        <v>🔗 Ver Mapa</v>
      </c>
    </row>
    <row r="2212" spans="1:12" ht="43.5" x14ac:dyDescent="0.35">
      <c r="A2212" s="6" t="s">
        <v>4</v>
      </c>
      <c r="B2212" s="6" t="s">
        <v>17</v>
      </c>
      <c r="C2212" s="6" t="s">
        <v>1326</v>
      </c>
      <c r="D2212" s="11" t="s">
        <v>64</v>
      </c>
      <c r="E2212" s="17" t="s">
        <v>75</v>
      </c>
      <c r="F2212" s="17" t="s">
        <v>149</v>
      </c>
      <c r="G2212" s="11" t="s">
        <v>1327</v>
      </c>
      <c r="H2212" s="11" t="s">
        <v>1328</v>
      </c>
      <c r="I2212" s="17" t="s">
        <v>296</v>
      </c>
      <c r="J2212" s="17">
        <v>16.635882123769999</v>
      </c>
      <c r="K2212" s="17">
        <v>-96.546648681053</v>
      </c>
      <c r="L2212" s="17" t="str">
        <f>HYPERLINK("https://maps.google.com/?q=16.63588212377,-96.546648681053", "🔗 Ver Mapa")</f>
        <v>🔗 Ver Mapa</v>
      </c>
    </row>
    <row r="2213" spans="1:12" ht="43.5" x14ac:dyDescent="0.35">
      <c r="A2213" s="5" t="s">
        <v>4</v>
      </c>
      <c r="B2213" s="5" t="s">
        <v>17</v>
      </c>
      <c r="C2213" s="5" t="s">
        <v>1326</v>
      </c>
      <c r="D2213" s="8" t="s">
        <v>64</v>
      </c>
      <c r="E2213" s="16" t="s">
        <v>75</v>
      </c>
      <c r="F2213" s="16" t="s">
        <v>149</v>
      </c>
      <c r="G2213" s="8" t="s">
        <v>1327</v>
      </c>
      <c r="H2213" s="8" t="s">
        <v>1328</v>
      </c>
      <c r="I2213" s="16" t="s">
        <v>296</v>
      </c>
      <c r="J2213" s="16">
        <v>16.636346380671</v>
      </c>
      <c r="K2213" s="16">
        <v>-96.588450603287001</v>
      </c>
      <c r="L2213" s="16" t="str">
        <f>HYPERLINK("https://maps.google.com/?q=16.636346380671,-96.588450603287", "🔗 Ver Mapa")</f>
        <v>🔗 Ver Mapa</v>
      </c>
    </row>
    <row r="2214" spans="1:12" ht="43.5" x14ac:dyDescent="0.35">
      <c r="A2214" s="6" t="s">
        <v>4</v>
      </c>
      <c r="B2214" s="6" t="s">
        <v>17</v>
      </c>
      <c r="C2214" s="6" t="s">
        <v>1326</v>
      </c>
      <c r="D2214" s="11" t="s">
        <v>64</v>
      </c>
      <c r="E2214" s="17" t="s">
        <v>75</v>
      </c>
      <c r="F2214" s="17" t="s">
        <v>149</v>
      </c>
      <c r="G2214" s="11" t="s">
        <v>1327</v>
      </c>
      <c r="H2214" s="11" t="s">
        <v>1328</v>
      </c>
      <c r="I2214" s="17" t="s">
        <v>296</v>
      </c>
      <c r="J2214" s="17">
        <v>16.636850655905</v>
      </c>
      <c r="K2214" s="17">
        <v>-96.587941186891001</v>
      </c>
      <c r="L2214" s="17" t="str">
        <f>HYPERLINK("https://maps.google.com/?q=16.636850655905,-96.587941186891", "🔗 Ver Mapa")</f>
        <v>🔗 Ver Mapa</v>
      </c>
    </row>
    <row r="2215" spans="1:12" ht="43.5" x14ac:dyDescent="0.35">
      <c r="A2215" s="5" t="s">
        <v>4</v>
      </c>
      <c r="B2215" s="5" t="s">
        <v>17</v>
      </c>
      <c r="C2215" s="5" t="s">
        <v>1326</v>
      </c>
      <c r="D2215" s="8" t="s">
        <v>64</v>
      </c>
      <c r="E2215" s="16" t="s">
        <v>75</v>
      </c>
      <c r="F2215" s="16" t="s">
        <v>149</v>
      </c>
      <c r="G2215" s="8" t="s">
        <v>1327</v>
      </c>
      <c r="H2215" s="8" t="s">
        <v>1328</v>
      </c>
      <c r="I2215" s="16" t="s">
        <v>296</v>
      </c>
      <c r="J2215" s="16">
        <v>16.637214428618002</v>
      </c>
      <c r="K2215" s="16">
        <v>-96.587116378709993</v>
      </c>
      <c r="L2215" s="16" t="str">
        <f>HYPERLINK("https://maps.google.com/?q=16.637214428618,-96.58711637871", "🔗 Ver Mapa")</f>
        <v>🔗 Ver Mapa</v>
      </c>
    </row>
    <row r="2216" spans="1:12" ht="43.5" x14ac:dyDescent="0.35">
      <c r="A2216" s="6" t="s">
        <v>4</v>
      </c>
      <c r="B2216" s="6" t="s">
        <v>17</v>
      </c>
      <c r="C2216" s="6" t="s">
        <v>1326</v>
      </c>
      <c r="D2216" s="11" t="s">
        <v>64</v>
      </c>
      <c r="E2216" s="17" t="s">
        <v>75</v>
      </c>
      <c r="F2216" s="17" t="s">
        <v>149</v>
      </c>
      <c r="G2216" s="11" t="s">
        <v>1327</v>
      </c>
      <c r="H2216" s="11" t="s">
        <v>1328</v>
      </c>
      <c r="I2216" s="17" t="s">
        <v>296</v>
      </c>
      <c r="J2216" s="17">
        <v>16.637923618658</v>
      </c>
      <c r="K2216" s="17">
        <v>-96.586627599813994</v>
      </c>
      <c r="L2216" s="17" t="str">
        <f>HYPERLINK("https://maps.google.com/?q=16.637923618658,-96.586627599814", "🔗 Ver Mapa")</f>
        <v>🔗 Ver Mapa</v>
      </c>
    </row>
    <row r="2217" spans="1:12" ht="43.5" x14ac:dyDescent="0.35">
      <c r="A2217" s="5" t="s">
        <v>4</v>
      </c>
      <c r="B2217" s="5" t="s">
        <v>17</v>
      </c>
      <c r="C2217" s="5" t="s">
        <v>1326</v>
      </c>
      <c r="D2217" s="8" t="s">
        <v>64</v>
      </c>
      <c r="E2217" s="16" t="s">
        <v>75</v>
      </c>
      <c r="F2217" s="16" t="s">
        <v>149</v>
      </c>
      <c r="G2217" s="8" t="s">
        <v>1327</v>
      </c>
      <c r="H2217" s="8" t="s">
        <v>1328</v>
      </c>
      <c r="I2217" s="16" t="s">
        <v>296</v>
      </c>
      <c r="J2217" s="16">
        <v>16.638279419778002</v>
      </c>
      <c r="K2217" s="16">
        <v>-96.586156668675002</v>
      </c>
      <c r="L2217" s="16" t="str">
        <f>HYPERLINK("https://maps.google.com/?q=16.638279419778,-96.586156668675", "🔗 Ver Mapa")</f>
        <v>🔗 Ver Mapa</v>
      </c>
    </row>
    <row r="2218" spans="1:12" ht="43.5" x14ac:dyDescent="0.35">
      <c r="A2218" s="6" t="s">
        <v>4</v>
      </c>
      <c r="B2218" s="6" t="s">
        <v>17</v>
      </c>
      <c r="C2218" s="6" t="s">
        <v>1326</v>
      </c>
      <c r="D2218" s="11" t="s">
        <v>64</v>
      </c>
      <c r="E2218" s="17" t="s">
        <v>75</v>
      </c>
      <c r="F2218" s="17" t="s">
        <v>149</v>
      </c>
      <c r="G2218" s="11" t="s">
        <v>1327</v>
      </c>
      <c r="H2218" s="11" t="s">
        <v>1328</v>
      </c>
      <c r="I2218" s="17" t="s">
        <v>296</v>
      </c>
      <c r="J2218" s="17">
        <v>16.639149093252001</v>
      </c>
      <c r="K2218" s="17">
        <v>-96.585901248549007</v>
      </c>
      <c r="L2218" s="17" t="str">
        <f>HYPERLINK("https://maps.google.com/?q=16.639149093252,-96.585901248549", "🔗 Ver Mapa")</f>
        <v>🔗 Ver Mapa</v>
      </c>
    </row>
    <row r="2219" spans="1:12" ht="43.5" x14ac:dyDescent="0.35">
      <c r="A2219" s="5" t="s">
        <v>4</v>
      </c>
      <c r="B2219" s="5" t="s">
        <v>17</v>
      </c>
      <c r="C2219" s="5" t="s">
        <v>1326</v>
      </c>
      <c r="D2219" s="8" t="s">
        <v>64</v>
      </c>
      <c r="E2219" s="16" t="s">
        <v>75</v>
      </c>
      <c r="F2219" s="16" t="s">
        <v>149</v>
      </c>
      <c r="G2219" s="8" t="s">
        <v>1327</v>
      </c>
      <c r="H2219" s="8" t="s">
        <v>1328</v>
      </c>
      <c r="I2219" s="16" t="s">
        <v>296</v>
      </c>
      <c r="J2219" s="16">
        <v>16.640101576711</v>
      </c>
      <c r="K2219" s="16">
        <v>-96.585530319420002</v>
      </c>
      <c r="L2219" s="16" t="str">
        <f>HYPERLINK("https://maps.google.com/?q=16.640101576711,-96.58553031942", "🔗 Ver Mapa")</f>
        <v>🔗 Ver Mapa</v>
      </c>
    </row>
    <row r="2220" spans="1:12" ht="43.5" x14ac:dyDescent="0.35">
      <c r="A2220" s="6" t="s">
        <v>4</v>
      </c>
      <c r="B2220" s="6" t="s">
        <v>17</v>
      </c>
      <c r="C2220" s="6" t="s">
        <v>1326</v>
      </c>
      <c r="D2220" s="11" t="s">
        <v>64</v>
      </c>
      <c r="E2220" s="17" t="s">
        <v>75</v>
      </c>
      <c r="F2220" s="17" t="s">
        <v>149</v>
      </c>
      <c r="G2220" s="11" t="s">
        <v>1327</v>
      </c>
      <c r="H2220" s="11" t="s">
        <v>1328</v>
      </c>
      <c r="I2220" s="17" t="s">
        <v>296</v>
      </c>
      <c r="J2220" s="17">
        <v>16.64101763895</v>
      </c>
      <c r="K2220" s="17">
        <v>-96.584731280962004</v>
      </c>
      <c r="L2220" s="17" t="str">
        <f>HYPERLINK("https://maps.google.com/?q=16.64101763895,-96.584731280962", "🔗 Ver Mapa")</f>
        <v>🔗 Ver Mapa</v>
      </c>
    </row>
    <row r="2221" spans="1:12" ht="43.5" x14ac:dyDescent="0.35">
      <c r="A2221" s="5" t="s">
        <v>4</v>
      </c>
      <c r="B2221" s="5" t="s">
        <v>17</v>
      </c>
      <c r="C2221" s="5" t="s">
        <v>1326</v>
      </c>
      <c r="D2221" s="8" t="s">
        <v>64</v>
      </c>
      <c r="E2221" s="16" t="s">
        <v>75</v>
      </c>
      <c r="F2221" s="16" t="s">
        <v>149</v>
      </c>
      <c r="G2221" s="8" t="s">
        <v>1327</v>
      </c>
      <c r="H2221" s="8" t="s">
        <v>1328</v>
      </c>
      <c r="I2221" s="16" t="s">
        <v>296</v>
      </c>
      <c r="J2221" s="16">
        <v>16.641965493958001</v>
      </c>
      <c r="K2221" s="16">
        <v>-96.583556142538001</v>
      </c>
      <c r="L2221" s="16" t="str">
        <f>HYPERLINK("https://maps.google.com/?q=16.641965493958,-96.583556142538", "🔗 Ver Mapa")</f>
        <v>🔗 Ver Mapa</v>
      </c>
    </row>
    <row r="2222" spans="1:12" ht="43.5" x14ac:dyDescent="0.35">
      <c r="A2222" s="6" t="s">
        <v>4</v>
      </c>
      <c r="B2222" s="6" t="s">
        <v>17</v>
      </c>
      <c r="C2222" s="6" t="s">
        <v>1326</v>
      </c>
      <c r="D2222" s="11" t="s">
        <v>64</v>
      </c>
      <c r="E2222" s="17" t="s">
        <v>75</v>
      </c>
      <c r="F2222" s="17" t="s">
        <v>149</v>
      </c>
      <c r="G2222" s="11" t="s">
        <v>1327</v>
      </c>
      <c r="H2222" s="11" t="s">
        <v>1328</v>
      </c>
      <c r="I2222" s="17" t="s">
        <v>296</v>
      </c>
      <c r="J2222" s="17">
        <v>16.642904846646001</v>
      </c>
      <c r="K2222" s="17">
        <v>-96.582676452681</v>
      </c>
      <c r="L2222" s="17" t="str">
        <f>HYPERLINK("https://maps.google.com/?q=16.642904846646,-96.582676452681", "🔗 Ver Mapa")</f>
        <v>🔗 Ver Mapa</v>
      </c>
    </row>
    <row r="2223" spans="1:12" ht="43.5" x14ac:dyDescent="0.35">
      <c r="A2223" s="5" t="s">
        <v>4</v>
      </c>
      <c r="B2223" s="5" t="s">
        <v>17</v>
      </c>
      <c r="C2223" s="5" t="s">
        <v>1326</v>
      </c>
      <c r="D2223" s="8" t="s">
        <v>64</v>
      </c>
      <c r="E2223" s="16" t="s">
        <v>75</v>
      </c>
      <c r="F2223" s="16" t="s">
        <v>149</v>
      </c>
      <c r="G2223" s="8" t="s">
        <v>1327</v>
      </c>
      <c r="H2223" s="8" t="s">
        <v>1328</v>
      </c>
      <c r="I2223" s="16" t="s">
        <v>296</v>
      </c>
      <c r="J2223" s="16">
        <v>16.643530908391</v>
      </c>
      <c r="K2223" s="16">
        <v>-96.582333619118003</v>
      </c>
      <c r="L2223" s="16" t="str">
        <f>HYPERLINK("https://maps.google.com/?q=16.643530908391,-96.582333619118", "🔗 Ver Mapa")</f>
        <v>🔗 Ver Mapa</v>
      </c>
    </row>
    <row r="2224" spans="1:12" ht="43.5" x14ac:dyDescent="0.35">
      <c r="A2224" s="6" t="s">
        <v>4</v>
      </c>
      <c r="B2224" s="6" t="s">
        <v>17</v>
      </c>
      <c r="C2224" s="6" t="s">
        <v>1326</v>
      </c>
      <c r="D2224" s="11" t="s">
        <v>64</v>
      </c>
      <c r="E2224" s="17" t="s">
        <v>75</v>
      </c>
      <c r="F2224" s="17" t="s">
        <v>149</v>
      </c>
      <c r="G2224" s="11" t="s">
        <v>1327</v>
      </c>
      <c r="H2224" s="11" t="s">
        <v>1328</v>
      </c>
      <c r="I2224" s="17" t="s">
        <v>296</v>
      </c>
      <c r="J2224" s="17">
        <v>16.643626216049999</v>
      </c>
      <c r="K2224" s="17">
        <v>-96.568465897240003</v>
      </c>
      <c r="L2224" s="17" t="str">
        <f>HYPERLINK("https://maps.google.com/?q=16.64362621605,-96.56846589724", "🔗 Ver Mapa")</f>
        <v>🔗 Ver Mapa</v>
      </c>
    </row>
    <row r="2225" spans="1:12" ht="43.5" x14ac:dyDescent="0.35">
      <c r="A2225" s="5" t="s">
        <v>4</v>
      </c>
      <c r="B2225" s="5" t="s">
        <v>17</v>
      </c>
      <c r="C2225" s="5" t="s">
        <v>1326</v>
      </c>
      <c r="D2225" s="8" t="s">
        <v>64</v>
      </c>
      <c r="E2225" s="16" t="s">
        <v>75</v>
      </c>
      <c r="F2225" s="16" t="s">
        <v>149</v>
      </c>
      <c r="G2225" s="8" t="s">
        <v>1327</v>
      </c>
      <c r="H2225" s="8" t="s">
        <v>1328</v>
      </c>
      <c r="I2225" s="16" t="s">
        <v>296</v>
      </c>
      <c r="J2225" s="16">
        <v>16.643826333202</v>
      </c>
      <c r="K2225" s="16">
        <v>-96.567429145111007</v>
      </c>
      <c r="L2225" s="16" t="str">
        <f>HYPERLINK("https://maps.google.com/?q=16.643826333202,-96.567429145111", "🔗 Ver Mapa")</f>
        <v>🔗 Ver Mapa</v>
      </c>
    </row>
    <row r="2226" spans="1:12" ht="43.5" x14ac:dyDescent="0.35">
      <c r="A2226" s="6" t="s">
        <v>4</v>
      </c>
      <c r="B2226" s="6" t="s">
        <v>17</v>
      </c>
      <c r="C2226" s="6" t="s">
        <v>1326</v>
      </c>
      <c r="D2226" s="11" t="s">
        <v>64</v>
      </c>
      <c r="E2226" s="17" t="s">
        <v>75</v>
      </c>
      <c r="F2226" s="17" t="s">
        <v>149</v>
      </c>
      <c r="G2226" s="11" t="s">
        <v>1327</v>
      </c>
      <c r="H2226" s="11" t="s">
        <v>1328</v>
      </c>
      <c r="I2226" s="17" t="s">
        <v>296</v>
      </c>
      <c r="J2226" s="17">
        <v>16.643880425833999</v>
      </c>
      <c r="K2226" s="17">
        <v>-96.569057097631003</v>
      </c>
      <c r="L2226" s="17" t="str">
        <f>HYPERLINK("https://maps.google.com/?q=16.643880425834,-96.569057097631", "🔗 Ver Mapa")</f>
        <v>🔗 Ver Mapa</v>
      </c>
    </row>
    <row r="2227" spans="1:12" ht="43.5" x14ac:dyDescent="0.35">
      <c r="A2227" s="5" t="s">
        <v>4</v>
      </c>
      <c r="B2227" s="5" t="s">
        <v>17</v>
      </c>
      <c r="C2227" s="5" t="s">
        <v>1326</v>
      </c>
      <c r="D2227" s="8" t="s">
        <v>64</v>
      </c>
      <c r="E2227" s="16" t="s">
        <v>75</v>
      </c>
      <c r="F2227" s="16" t="s">
        <v>149</v>
      </c>
      <c r="G2227" s="8" t="s">
        <v>1327</v>
      </c>
      <c r="H2227" s="8" t="s">
        <v>1328</v>
      </c>
      <c r="I2227" s="16" t="s">
        <v>296</v>
      </c>
      <c r="J2227" s="16">
        <v>16.644024440677001</v>
      </c>
      <c r="K2227" s="16">
        <v>-96.581761125490004</v>
      </c>
      <c r="L2227" s="16" t="str">
        <f>HYPERLINK("https://maps.google.com/?q=16.644024440677,-96.58176112549", "🔗 Ver Mapa")</f>
        <v>🔗 Ver Mapa</v>
      </c>
    </row>
    <row r="2228" spans="1:12" ht="43.5" x14ac:dyDescent="0.35">
      <c r="A2228" s="6" t="s">
        <v>4</v>
      </c>
      <c r="B2228" s="6" t="s">
        <v>17</v>
      </c>
      <c r="C2228" s="6" t="s">
        <v>1326</v>
      </c>
      <c r="D2228" s="11" t="s">
        <v>64</v>
      </c>
      <c r="E2228" s="17" t="s">
        <v>75</v>
      </c>
      <c r="F2228" s="17" t="s">
        <v>149</v>
      </c>
      <c r="G2228" s="11" t="s">
        <v>1327</v>
      </c>
      <c r="H2228" s="11" t="s">
        <v>1328</v>
      </c>
      <c r="I2228" s="17" t="s">
        <v>296</v>
      </c>
      <c r="J2228" s="17">
        <v>16.644102844340001</v>
      </c>
      <c r="K2228" s="17">
        <v>-96.571175440546995</v>
      </c>
      <c r="L2228" s="17" t="str">
        <f>HYPERLINK("https://maps.google.com/?q=16.64410284434,-96.571175440547", "🔗 Ver Mapa")</f>
        <v>🔗 Ver Mapa</v>
      </c>
    </row>
    <row r="2229" spans="1:12" ht="43.5" x14ac:dyDescent="0.35">
      <c r="A2229" s="5" t="s">
        <v>4</v>
      </c>
      <c r="B2229" s="5" t="s">
        <v>17</v>
      </c>
      <c r="C2229" s="5" t="s">
        <v>1326</v>
      </c>
      <c r="D2229" s="8" t="s">
        <v>64</v>
      </c>
      <c r="E2229" s="16" t="s">
        <v>75</v>
      </c>
      <c r="F2229" s="16" t="s">
        <v>149</v>
      </c>
      <c r="G2229" s="8" t="s">
        <v>1327</v>
      </c>
      <c r="H2229" s="8" t="s">
        <v>1328</v>
      </c>
      <c r="I2229" s="16" t="s">
        <v>296</v>
      </c>
      <c r="J2229" s="16">
        <v>16.644126046928999</v>
      </c>
      <c r="K2229" s="16">
        <v>-96.570264489832994</v>
      </c>
      <c r="L2229" s="16" t="str">
        <f>HYPERLINK("https://maps.google.com/?q=16.644126046929,-96.570264489833", "🔗 Ver Mapa")</f>
        <v>🔗 Ver Mapa</v>
      </c>
    </row>
    <row r="2230" spans="1:12" ht="43.5" x14ac:dyDescent="0.35">
      <c r="A2230" s="6" t="s">
        <v>4</v>
      </c>
      <c r="B2230" s="6" t="s">
        <v>17</v>
      </c>
      <c r="C2230" s="6" t="s">
        <v>1326</v>
      </c>
      <c r="D2230" s="11" t="s">
        <v>64</v>
      </c>
      <c r="E2230" s="17" t="s">
        <v>75</v>
      </c>
      <c r="F2230" s="17" t="s">
        <v>149</v>
      </c>
      <c r="G2230" s="11" t="s">
        <v>1327</v>
      </c>
      <c r="H2230" s="11" t="s">
        <v>1328</v>
      </c>
      <c r="I2230" s="17" t="s">
        <v>296</v>
      </c>
      <c r="J2230" s="17">
        <v>16.644135794301999</v>
      </c>
      <c r="K2230" s="17">
        <v>-96.581336901022993</v>
      </c>
      <c r="L2230" s="17" t="str">
        <f>HYPERLINK("https://maps.google.com/?q=16.644135794302,-96.581336901023", "🔗 Ver Mapa")</f>
        <v>🔗 Ver Mapa</v>
      </c>
    </row>
    <row r="2231" spans="1:12" ht="43.5" x14ac:dyDescent="0.35">
      <c r="A2231" s="5" t="s">
        <v>4</v>
      </c>
      <c r="B2231" s="5" t="s">
        <v>17</v>
      </c>
      <c r="C2231" s="5" t="s">
        <v>1326</v>
      </c>
      <c r="D2231" s="8" t="s">
        <v>64</v>
      </c>
      <c r="E2231" s="16" t="s">
        <v>75</v>
      </c>
      <c r="F2231" s="16" t="s">
        <v>149</v>
      </c>
      <c r="G2231" s="8" t="s">
        <v>1327</v>
      </c>
      <c r="H2231" s="8" t="s">
        <v>1328</v>
      </c>
      <c r="I2231" s="16" t="s">
        <v>296</v>
      </c>
      <c r="J2231" s="16">
        <v>16.644225881450001</v>
      </c>
      <c r="K2231" s="16">
        <v>-96.571461438897998</v>
      </c>
      <c r="L2231" s="16" t="str">
        <f>HYPERLINK("https://maps.google.com/?q=16.64422588145,-96.571461438898", "🔗 Ver Mapa")</f>
        <v>🔗 Ver Mapa</v>
      </c>
    </row>
    <row r="2232" spans="1:12" ht="43.5" x14ac:dyDescent="0.35">
      <c r="A2232" s="6" t="s">
        <v>4</v>
      </c>
      <c r="B2232" s="6" t="s">
        <v>17</v>
      </c>
      <c r="C2232" s="6" t="s">
        <v>1326</v>
      </c>
      <c r="D2232" s="11" t="s">
        <v>64</v>
      </c>
      <c r="E2232" s="17" t="s">
        <v>75</v>
      </c>
      <c r="F2232" s="17" t="s">
        <v>149</v>
      </c>
      <c r="G2232" s="11" t="s">
        <v>1327</v>
      </c>
      <c r="H2232" s="11" t="s">
        <v>1328</v>
      </c>
      <c r="I2232" s="17" t="s">
        <v>296</v>
      </c>
      <c r="J2232" s="17">
        <v>16.644476568855001</v>
      </c>
      <c r="K2232" s="17">
        <v>-96.580833663991001</v>
      </c>
      <c r="L2232" s="17" t="str">
        <f>HYPERLINK("https://maps.google.com/?q=16.644476568855,-96.580833663991", "🔗 Ver Mapa")</f>
        <v>🔗 Ver Mapa</v>
      </c>
    </row>
    <row r="2233" spans="1:12" ht="43.5" x14ac:dyDescent="0.35">
      <c r="A2233" s="5" t="s">
        <v>4</v>
      </c>
      <c r="B2233" s="5" t="s">
        <v>17</v>
      </c>
      <c r="C2233" s="5" t="s">
        <v>1326</v>
      </c>
      <c r="D2233" s="8" t="s">
        <v>64</v>
      </c>
      <c r="E2233" s="16" t="s">
        <v>75</v>
      </c>
      <c r="F2233" s="16" t="s">
        <v>149</v>
      </c>
      <c r="G2233" s="8" t="s">
        <v>1327</v>
      </c>
      <c r="H2233" s="8" t="s">
        <v>1328</v>
      </c>
      <c r="I2233" s="16" t="s">
        <v>296</v>
      </c>
      <c r="J2233" s="16">
        <v>16.644568158165001</v>
      </c>
      <c r="K2233" s="16">
        <v>-96.571570728785005</v>
      </c>
      <c r="L2233" s="16" t="str">
        <f>HYPERLINK("https://maps.google.com/?q=16.644568158165,-96.571570728785", "🔗 Ver Mapa")</f>
        <v>🔗 Ver Mapa</v>
      </c>
    </row>
    <row r="2234" spans="1:12" ht="43.5" x14ac:dyDescent="0.35">
      <c r="A2234" s="6" t="s">
        <v>4</v>
      </c>
      <c r="B2234" s="6" t="s">
        <v>17</v>
      </c>
      <c r="C2234" s="6" t="s">
        <v>1326</v>
      </c>
      <c r="D2234" s="11" t="s">
        <v>64</v>
      </c>
      <c r="E2234" s="17" t="s">
        <v>75</v>
      </c>
      <c r="F2234" s="17" t="s">
        <v>149</v>
      </c>
      <c r="G2234" s="11" t="s">
        <v>1327</v>
      </c>
      <c r="H2234" s="11" t="s">
        <v>1328</v>
      </c>
      <c r="I2234" s="17" t="s">
        <v>296</v>
      </c>
      <c r="J2234" s="17">
        <v>16.644923449621999</v>
      </c>
      <c r="K2234" s="17">
        <v>-96.578006465233003</v>
      </c>
      <c r="L2234" s="17" t="str">
        <f>HYPERLINK("https://maps.google.com/?q=16.644923449622,-96.578006465233", "🔗 Ver Mapa")</f>
        <v>🔗 Ver Mapa</v>
      </c>
    </row>
    <row r="2235" spans="1:12" ht="43.5" x14ac:dyDescent="0.35">
      <c r="A2235" s="5" t="s">
        <v>4</v>
      </c>
      <c r="B2235" s="5" t="s">
        <v>17</v>
      </c>
      <c r="C2235" s="5" t="s">
        <v>1326</v>
      </c>
      <c r="D2235" s="8" t="s">
        <v>64</v>
      </c>
      <c r="E2235" s="16" t="s">
        <v>75</v>
      </c>
      <c r="F2235" s="16" t="s">
        <v>149</v>
      </c>
      <c r="G2235" s="8" t="s">
        <v>1327</v>
      </c>
      <c r="H2235" s="8" t="s">
        <v>1328</v>
      </c>
      <c r="I2235" s="16" t="s">
        <v>296</v>
      </c>
      <c r="J2235" s="16">
        <v>16.645035904570001</v>
      </c>
      <c r="K2235" s="16">
        <v>-96.576904058945004</v>
      </c>
      <c r="L2235" s="16" t="str">
        <f>HYPERLINK("https://maps.google.com/?q=16.64503590457,-96.576904058945", "🔗 Ver Mapa")</f>
        <v>🔗 Ver Mapa</v>
      </c>
    </row>
    <row r="2236" spans="1:12" ht="43.5" x14ac:dyDescent="0.35">
      <c r="A2236" s="6" t="s">
        <v>4</v>
      </c>
      <c r="B2236" s="6" t="s">
        <v>17</v>
      </c>
      <c r="C2236" s="6" t="s">
        <v>1326</v>
      </c>
      <c r="D2236" s="11" t="s">
        <v>64</v>
      </c>
      <c r="E2236" s="17" t="s">
        <v>75</v>
      </c>
      <c r="F2236" s="17" t="s">
        <v>149</v>
      </c>
      <c r="G2236" s="11" t="s">
        <v>1327</v>
      </c>
      <c r="H2236" s="11" t="s">
        <v>1328</v>
      </c>
      <c r="I2236" s="17" t="s">
        <v>296</v>
      </c>
      <c r="J2236" s="17">
        <v>16.645098646983001</v>
      </c>
      <c r="K2236" s="17">
        <v>-96.572421410382006</v>
      </c>
      <c r="L2236" s="17" t="str">
        <f>HYPERLINK("https://maps.google.com/?q=16.645098646983,-96.572421410382", "🔗 Ver Mapa")</f>
        <v>🔗 Ver Mapa</v>
      </c>
    </row>
    <row r="2237" spans="1:12" ht="43.5" x14ac:dyDescent="0.35">
      <c r="A2237" s="5" t="s">
        <v>4</v>
      </c>
      <c r="B2237" s="5" t="s">
        <v>17</v>
      </c>
      <c r="C2237" s="5" t="s">
        <v>1326</v>
      </c>
      <c r="D2237" s="8" t="s">
        <v>64</v>
      </c>
      <c r="E2237" s="16" t="s">
        <v>75</v>
      </c>
      <c r="F2237" s="16" t="s">
        <v>149</v>
      </c>
      <c r="G2237" s="8" t="s">
        <v>1327</v>
      </c>
      <c r="H2237" s="8" t="s">
        <v>1328</v>
      </c>
      <c r="I2237" s="16" t="s">
        <v>296</v>
      </c>
      <c r="J2237" s="16">
        <v>16.645103524429999</v>
      </c>
      <c r="K2237" s="16">
        <v>-96.572066464792996</v>
      </c>
      <c r="L2237" s="16" t="str">
        <f>HYPERLINK("https://maps.google.com/?q=16.64510352443,-96.572066464793", "🔗 Ver Mapa")</f>
        <v>🔗 Ver Mapa</v>
      </c>
    </row>
    <row r="2238" spans="1:12" ht="43.5" x14ac:dyDescent="0.35">
      <c r="A2238" s="6" t="s">
        <v>4</v>
      </c>
      <c r="B2238" s="6" t="s">
        <v>17</v>
      </c>
      <c r="C2238" s="6" t="s">
        <v>1326</v>
      </c>
      <c r="D2238" s="11" t="s">
        <v>64</v>
      </c>
      <c r="E2238" s="17" t="s">
        <v>75</v>
      </c>
      <c r="F2238" s="17" t="s">
        <v>149</v>
      </c>
      <c r="G2238" s="11" t="s">
        <v>1327</v>
      </c>
      <c r="H2238" s="11" t="s">
        <v>1328</v>
      </c>
      <c r="I2238" s="17" t="s">
        <v>296</v>
      </c>
      <c r="J2238" s="17">
        <v>16.645186138558</v>
      </c>
      <c r="K2238" s="17">
        <v>-96.577295457047995</v>
      </c>
      <c r="L2238" s="17" t="str">
        <f>HYPERLINK("https://maps.google.com/?q=16.645186138558,-96.577295457048", "🔗 Ver Mapa")</f>
        <v>🔗 Ver Mapa</v>
      </c>
    </row>
    <row r="2239" spans="1:12" ht="43.5" x14ac:dyDescent="0.35">
      <c r="A2239" s="5" t="s">
        <v>4</v>
      </c>
      <c r="B2239" s="5" t="s">
        <v>17</v>
      </c>
      <c r="C2239" s="5" t="s">
        <v>1326</v>
      </c>
      <c r="D2239" s="8" t="s">
        <v>64</v>
      </c>
      <c r="E2239" s="16" t="s">
        <v>75</v>
      </c>
      <c r="F2239" s="16" t="s">
        <v>149</v>
      </c>
      <c r="G2239" s="8" t="s">
        <v>1327</v>
      </c>
      <c r="H2239" s="8" t="s">
        <v>1328</v>
      </c>
      <c r="I2239" s="16" t="s">
        <v>296</v>
      </c>
      <c r="J2239" s="16">
        <v>16.645190551416</v>
      </c>
      <c r="K2239" s="16">
        <v>-96.577576765936001</v>
      </c>
      <c r="L2239" s="16" t="str">
        <f>HYPERLINK("https://maps.google.com/?q=16.645190551416,-96.577576765936", "🔗 Ver Mapa")</f>
        <v>🔗 Ver Mapa</v>
      </c>
    </row>
    <row r="2240" spans="1:12" ht="43.5" x14ac:dyDescent="0.35">
      <c r="A2240" s="6" t="s">
        <v>4</v>
      </c>
      <c r="B2240" s="6" t="s">
        <v>17</v>
      </c>
      <c r="C2240" s="6" t="s">
        <v>1326</v>
      </c>
      <c r="D2240" s="11" t="s">
        <v>64</v>
      </c>
      <c r="E2240" s="17" t="s">
        <v>75</v>
      </c>
      <c r="F2240" s="17" t="s">
        <v>149</v>
      </c>
      <c r="G2240" s="11" t="s">
        <v>1327</v>
      </c>
      <c r="H2240" s="11" t="s">
        <v>1328</v>
      </c>
      <c r="I2240" s="17" t="s">
        <v>296</v>
      </c>
      <c r="J2240" s="17">
        <v>16.645283034222</v>
      </c>
      <c r="K2240" s="17">
        <v>-96.57418712079</v>
      </c>
      <c r="L2240" s="17" t="str">
        <f>HYPERLINK("https://maps.google.com/?q=16.645283034222,-96.57418712079", "🔗 Ver Mapa")</f>
        <v>🔗 Ver Mapa</v>
      </c>
    </row>
    <row r="2241" spans="1:12" ht="43.5" x14ac:dyDescent="0.35">
      <c r="A2241" s="5" t="s">
        <v>4</v>
      </c>
      <c r="B2241" s="5" t="s">
        <v>17</v>
      </c>
      <c r="C2241" s="5" t="s">
        <v>1326</v>
      </c>
      <c r="D2241" s="8" t="s">
        <v>64</v>
      </c>
      <c r="E2241" s="16" t="s">
        <v>75</v>
      </c>
      <c r="F2241" s="16" t="s">
        <v>149</v>
      </c>
      <c r="G2241" s="8" t="s">
        <v>1327</v>
      </c>
      <c r="H2241" s="8" t="s">
        <v>1328</v>
      </c>
      <c r="I2241" s="16" t="s">
        <v>296</v>
      </c>
      <c r="J2241" s="16">
        <v>16.645397495040999</v>
      </c>
      <c r="K2241" s="16">
        <v>-96.573161410281998</v>
      </c>
      <c r="L2241" s="16" t="str">
        <f>HYPERLINK("https://maps.google.com/?q=16.645397495041,-96.573161410282", "🔗 Ver Mapa")</f>
        <v>🔗 Ver Mapa</v>
      </c>
    </row>
    <row r="2242" spans="1:12" ht="43.5" x14ac:dyDescent="0.35">
      <c r="A2242" s="6" t="s">
        <v>4</v>
      </c>
      <c r="B2242" s="6" t="s">
        <v>17</v>
      </c>
      <c r="C2242" s="6" t="s">
        <v>1326</v>
      </c>
      <c r="D2242" s="11" t="s">
        <v>64</v>
      </c>
      <c r="E2242" s="17" t="s">
        <v>75</v>
      </c>
      <c r="F2242" s="17" t="s">
        <v>149</v>
      </c>
      <c r="G2242" s="11" t="s">
        <v>1327</v>
      </c>
      <c r="H2242" s="11" t="s">
        <v>1328</v>
      </c>
      <c r="I2242" s="17" t="s">
        <v>296</v>
      </c>
      <c r="J2242" s="17">
        <v>16.645553749430999</v>
      </c>
      <c r="K2242" s="17">
        <v>-96.576094645680001</v>
      </c>
      <c r="L2242" s="17" t="str">
        <f>HYPERLINK("https://maps.google.com/?q=16.645553749431,-96.57609464568", "🔗 Ver Mapa")</f>
        <v>🔗 Ver Mapa</v>
      </c>
    </row>
    <row r="2243" spans="1:12" ht="43.5" x14ac:dyDescent="0.35">
      <c r="A2243" s="5" t="s">
        <v>4</v>
      </c>
      <c r="B2243" s="5" t="s">
        <v>17</v>
      </c>
      <c r="C2243" s="5" t="s">
        <v>1326</v>
      </c>
      <c r="D2243" s="8" t="s">
        <v>64</v>
      </c>
      <c r="E2243" s="16" t="s">
        <v>75</v>
      </c>
      <c r="F2243" s="16" t="s">
        <v>149</v>
      </c>
      <c r="G2243" s="8" t="s">
        <v>1327</v>
      </c>
      <c r="H2243" s="8" t="s">
        <v>1328</v>
      </c>
      <c r="I2243" s="16" t="s">
        <v>296</v>
      </c>
      <c r="J2243" s="16">
        <v>16.645700449313999</v>
      </c>
      <c r="K2243" s="16">
        <v>-96.575411120184995</v>
      </c>
      <c r="L2243" s="16" t="str">
        <f>HYPERLINK("https://maps.google.com/?q=16.645700449314,-96.575411120185", "🔗 Ver Mapa")</f>
        <v>🔗 Ver Mapa</v>
      </c>
    </row>
    <row r="2244" spans="1:12" ht="43.5" x14ac:dyDescent="0.35">
      <c r="A2244" s="6" t="s">
        <v>7</v>
      </c>
      <c r="B2244" s="6" t="s">
        <v>20</v>
      </c>
      <c r="C2244" s="6" t="s">
        <v>1329</v>
      </c>
      <c r="D2244" s="11" t="s">
        <v>235</v>
      </c>
      <c r="E2244" s="17" t="s">
        <v>75</v>
      </c>
      <c r="F2244" s="17" t="s">
        <v>156</v>
      </c>
      <c r="G2244" s="11" t="s">
        <v>1330</v>
      </c>
      <c r="H2244" s="11" t="s">
        <v>1331</v>
      </c>
      <c r="I2244" s="17" t="s">
        <v>138</v>
      </c>
      <c r="J2244" s="17">
        <v>16.566776999999998</v>
      </c>
      <c r="K2244" s="17">
        <v>-96.753530999999995</v>
      </c>
      <c r="L2244" s="17" t="str">
        <f>HYPERLINK("https://maps.google.com/?q=16.566777,-96.753531", "🔗 Ver Mapa")</f>
        <v>🔗 Ver Mapa</v>
      </c>
    </row>
    <row r="2245" spans="1:12" ht="58" x14ac:dyDescent="0.35">
      <c r="A2245" s="5" t="s">
        <v>1</v>
      </c>
      <c r="B2245" s="5" t="s">
        <v>14</v>
      </c>
      <c r="C2245" s="5" t="s">
        <v>1332</v>
      </c>
      <c r="D2245" s="8" t="s">
        <v>61</v>
      </c>
      <c r="E2245" s="16" t="s">
        <v>79</v>
      </c>
      <c r="F2245" s="16" t="s">
        <v>91</v>
      </c>
      <c r="G2245" s="8" t="s">
        <v>733</v>
      </c>
      <c r="H2245" s="8" t="s">
        <v>1333</v>
      </c>
      <c r="I2245" s="16" t="s">
        <v>138</v>
      </c>
      <c r="J2245" s="16">
        <v>16.628389546956001</v>
      </c>
      <c r="K2245" s="16">
        <v>-97.488941880062001</v>
      </c>
      <c r="L2245" s="16" t="str">
        <f>HYPERLINK("https://maps.google.com/?q=16.628389546956,-97.488941880062", "🔗 Ver Mapa")</f>
        <v>🔗 Ver Mapa</v>
      </c>
    </row>
    <row r="2246" spans="1:12" ht="43.5" x14ac:dyDescent="0.35">
      <c r="A2246" s="6" t="s">
        <v>4</v>
      </c>
      <c r="B2246" s="6" t="s">
        <v>17</v>
      </c>
      <c r="C2246" s="6" t="s">
        <v>1334</v>
      </c>
      <c r="D2246" s="11" t="s">
        <v>64</v>
      </c>
      <c r="E2246" s="17" t="s">
        <v>78</v>
      </c>
      <c r="F2246" s="17" t="s">
        <v>399</v>
      </c>
      <c r="G2246" s="11" t="s">
        <v>1335</v>
      </c>
      <c r="H2246" s="11" t="s">
        <v>1336</v>
      </c>
      <c r="I2246" s="17" t="s">
        <v>296</v>
      </c>
      <c r="J2246" s="17">
        <v>17.34229513</v>
      </c>
      <c r="K2246" s="17">
        <v>-96.528816649999996</v>
      </c>
      <c r="L2246" s="17" t="str">
        <f>HYPERLINK("https://maps.google.com/?q=17.34229513,-96.52881665", "🔗 Ver Mapa")</f>
        <v>🔗 Ver Mapa</v>
      </c>
    </row>
    <row r="2247" spans="1:12" ht="43.5" x14ac:dyDescent="0.35">
      <c r="A2247" s="5" t="s">
        <v>4</v>
      </c>
      <c r="B2247" s="5" t="s">
        <v>17</v>
      </c>
      <c r="C2247" s="5" t="s">
        <v>1334</v>
      </c>
      <c r="D2247" s="8" t="s">
        <v>64</v>
      </c>
      <c r="E2247" s="16" t="s">
        <v>78</v>
      </c>
      <c r="F2247" s="16" t="s">
        <v>399</v>
      </c>
      <c r="G2247" s="8" t="s">
        <v>1335</v>
      </c>
      <c r="H2247" s="8" t="s">
        <v>1336</v>
      </c>
      <c r="I2247" s="16" t="s">
        <v>296</v>
      </c>
      <c r="J2247" s="16">
        <v>17.342973600000001</v>
      </c>
      <c r="K2247" s="16">
        <v>-96.528901610000005</v>
      </c>
      <c r="L2247" s="16" t="str">
        <f>HYPERLINK("https://maps.google.com/?q=17.3429736,-96.52890161", "🔗 Ver Mapa")</f>
        <v>🔗 Ver Mapa</v>
      </c>
    </row>
    <row r="2248" spans="1:12" ht="43.5" x14ac:dyDescent="0.35">
      <c r="A2248" s="6" t="s">
        <v>4</v>
      </c>
      <c r="B2248" s="6" t="s">
        <v>17</v>
      </c>
      <c r="C2248" s="6" t="s">
        <v>1334</v>
      </c>
      <c r="D2248" s="11" t="s">
        <v>64</v>
      </c>
      <c r="E2248" s="17" t="s">
        <v>78</v>
      </c>
      <c r="F2248" s="17" t="s">
        <v>399</v>
      </c>
      <c r="G2248" s="11" t="s">
        <v>1335</v>
      </c>
      <c r="H2248" s="11" t="s">
        <v>1336</v>
      </c>
      <c r="I2248" s="17" t="s">
        <v>296</v>
      </c>
      <c r="J2248" s="17">
        <v>17.343617689999999</v>
      </c>
      <c r="K2248" s="17">
        <v>-96.529128099999994</v>
      </c>
      <c r="L2248" s="17" t="str">
        <f>HYPERLINK("https://maps.google.com/?q=17.34361769,-96.5291281", "🔗 Ver Mapa")</f>
        <v>🔗 Ver Mapa</v>
      </c>
    </row>
    <row r="2249" spans="1:12" ht="43.5" x14ac:dyDescent="0.35">
      <c r="A2249" s="5" t="s">
        <v>4</v>
      </c>
      <c r="B2249" s="5" t="s">
        <v>17</v>
      </c>
      <c r="C2249" s="5" t="s">
        <v>1334</v>
      </c>
      <c r="D2249" s="8" t="s">
        <v>64</v>
      </c>
      <c r="E2249" s="16" t="s">
        <v>78</v>
      </c>
      <c r="F2249" s="16" t="s">
        <v>399</v>
      </c>
      <c r="G2249" s="8" t="s">
        <v>1335</v>
      </c>
      <c r="H2249" s="8" t="s">
        <v>1336</v>
      </c>
      <c r="I2249" s="16" t="s">
        <v>296</v>
      </c>
      <c r="J2249" s="16">
        <v>17.3441364</v>
      </c>
      <c r="K2249" s="16">
        <v>-96.529440919999999</v>
      </c>
      <c r="L2249" s="16" t="str">
        <f>HYPERLINK("https://maps.google.com/?q=17.3441364,-96.52944092", "🔗 Ver Mapa")</f>
        <v>🔗 Ver Mapa</v>
      </c>
    </row>
    <row r="2250" spans="1:12" ht="43.5" x14ac:dyDescent="0.35">
      <c r="A2250" s="6" t="s">
        <v>4</v>
      </c>
      <c r="B2250" s="6" t="s">
        <v>17</v>
      </c>
      <c r="C2250" s="6" t="s">
        <v>1334</v>
      </c>
      <c r="D2250" s="11" t="s">
        <v>64</v>
      </c>
      <c r="E2250" s="17" t="s">
        <v>78</v>
      </c>
      <c r="F2250" s="17" t="s">
        <v>399</v>
      </c>
      <c r="G2250" s="11" t="s">
        <v>1335</v>
      </c>
      <c r="H2250" s="11" t="s">
        <v>1336</v>
      </c>
      <c r="I2250" s="17" t="s">
        <v>296</v>
      </c>
      <c r="J2250" s="17">
        <v>17.344483050000001</v>
      </c>
      <c r="K2250" s="17">
        <v>-96.529718419999995</v>
      </c>
      <c r="L2250" s="17" t="str">
        <f>HYPERLINK("https://maps.google.com/?q=17.34448305,-96.52971842", "🔗 Ver Mapa")</f>
        <v>🔗 Ver Mapa</v>
      </c>
    </row>
    <row r="2251" spans="1:12" ht="43.5" x14ac:dyDescent="0.35">
      <c r="A2251" s="5" t="s">
        <v>4</v>
      </c>
      <c r="B2251" s="5" t="s">
        <v>17</v>
      </c>
      <c r="C2251" s="5" t="s">
        <v>1334</v>
      </c>
      <c r="D2251" s="8" t="s">
        <v>64</v>
      </c>
      <c r="E2251" s="16" t="s">
        <v>78</v>
      </c>
      <c r="F2251" s="16" t="s">
        <v>399</v>
      </c>
      <c r="G2251" s="8" t="s">
        <v>1335</v>
      </c>
      <c r="H2251" s="8" t="s">
        <v>1336</v>
      </c>
      <c r="I2251" s="16" t="s">
        <v>296</v>
      </c>
      <c r="J2251" s="16">
        <v>17.34554662</v>
      </c>
      <c r="K2251" s="16">
        <v>-96.530268469999996</v>
      </c>
      <c r="L2251" s="16" t="str">
        <f>HYPERLINK("https://maps.google.com/?q=17.34554662,-96.53026847", "🔗 Ver Mapa")</f>
        <v>🔗 Ver Mapa</v>
      </c>
    </row>
    <row r="2252" spans="1:12" ht="43.5" x14ac:dyDescent="0.35">
      <c r="A2252" s="6" t="s">
        <v>4</v>
      </c>
      <c r="B2252" s="6" t="s">
        <v>17</v>
      </c>
      <c r="C2252" s="6" t="s">
        <v>1334</v>
      </c>
      <c r="D2252" s="11" t="s">
        <v>64</v>
      </c>
      <c r="E2252" s="17" t="s">
        <v>78</v>
      </c>
      <c r="F2252" s="17" t="s">
        <v>399</v>
      </c>
      <c r="G2252" s="11" t="s">
        <v>1335</v>
      </c>
      <c r="H2252" s="11" t="s">
        <v>1336</v>
      </c>
      <c r="I2252" s="17" t="s">
        <v>296</v>
      </c>
      <c r="J2252" s="17">
        <v>17.346152620000002</v>
      </c>
      <c r="K2252" s="17">
        <v>-96.530335590000007</v>
      </c>
      <c r="L2252" s="17" t="str">
        <f>HYPERLINK("https://maps.google.com/?q=17.34615262,-96.53033559", "🔗 Ver Mapa")</f>
        <v>🔗 Ver Mapa</v>
      </c>
    </row>
    <row r="2253" spans="1:12" ht="43.5" x14ac:dyDescent="0.35">
      <c r="A2253" s="5" t="s">
        <v>4</v>
      </c>
      <c r="B2253" s="5" t="s">
        <v>17</v>
      </c>
      <c r="C2253" s="5" t="s">
        <v>1334</v>
      </c>
      <c r="D2253" s="8" t="s">
        <v>64</v>
      </c>
      <c r="E2253" s="16" t="s">
        <v>78</v>
      </c>
      <c r="F2253" s="16" t="s">
        <v>399</v>
      </c>
      <c r="G2253" s="8" t="s">
        <v>1335</v>
      </c>
      <c r="H2253" s="8" t="s">
        <v>1336</v>
      </c>
      <c r="I2253" s="16" t="s">
        <v>296</v>
      </c>
      <c r="J2253" s="16">
        <v>17.347517920000001</v>
      </c>
      <c r="K2253" s="16">
        <v>-96.531182569999999</v>
      </c>
      <c r="L2253" s="16" t="str">
        <f>HYPERLINK("https://maps.google.com/?q=17.34751792,-96.53118257", "🔗 Ver Mapa")</f>
        <v>🔗 Ver Mapa</v>
      </c>
    </row>
    <row r="2254" spans="1:12" ht="43.5" x14ac:dyDescent="0.35">
      <c r="A2254" s="6" t="s">
        <v>4</v>
      </c>
      <c r="B2254" s="6" t="s">
        <v>17</v>
      </c>
      <c r="C2254" s="6" t="s">
        <v>1334</v>
      </c>
      <c r="D2254" s="11" t="s">
        <v>64</v>
      </c>
      <c r="E2254" s="17" t="s">
        <v>78</v>
      </c>
      <c r="F2254" s="17" t="s">
        <v>399</v>
      </c>
      <c r="G2254" s="11" t="s">
        <v>1335</v>
      </c>
      <c r="H2254" s="11" t="s">
        <v>1336</v>
      </c>
      <c r="I2254" s="17" t="s">
        <v>296</v>
      </c>
      <c r="J2254" s="17">
        <v>17.34787163</v>
      </c>
      <c r="K2254" s="17">
        <v>-96.531300099999996</v>
      </c>
      <c r="L2254" s="17" t="str">
        <f>HYPERLINK("https://maps.google.com/?q=17.34787163,-96.5313001", "🔗 Ver Mapa")</f>
        <v>🔗 Ver Mapa</v>
      </c>
    </row>
    <row r="2255" spans="1:12" ht="43.5" x14ac:dyDescent="0.35">
      <c r="A2255" s="5" t="s">
        <v>4</v>
      </c>
      <c r="B2255" s="5" t="s">
        <v>17</v>
      </c>
      <c r="C2255" s="5" t="s">
        <v>1334</v>
      </c>
      <c r="D2255" s="8" t="s">
        <v>64</v>
      </c>
      <c r="E2255" s="16" t="s">
        <v>78</v>
      </c>
      <c r="F2255" s="16" t="s">
        <v>399</v>
      </c>
      <c r="G2255" s="8" t="s">
        <v>1335</v>
      </c>
      <c r="H2255" s="8" t="s">
        <v>1336</v>
      </c>
      <c r="I2255" s="16" t="s">
        <v>296</v>
      </c>
      <c r="J2255" s="16">
        <v>17.34824119</v>
      </c>
      <c r="K2255" s="16">
        <v>-96.531238720000005</v>
      </c>
      <c r="L2255" s="16" t="str">
        <f>HYPERLINK("https://maps.google.com/?q=17.34824119,-96.53123872", "🔗 Ver Mapa")</f>
        <v>🔗 Ver Mapa</v>
      </c>
    </row>
    <row r="2256" spans="1:12" ht="43.5" x14ac:dyDescent="0.35">
      <c r="A2256" s="6" t="s">
        <v>4</v>
      </c>
      <c r="B2256" s="6" t="s">
        <v>17</v>
      </c>
      <c r="C2256" s="6" t="s">
        <v>1334</v>
      </c>
      <c r="D2256" s="11" t="s">
        <v>64</v>
      </c>
      <c r="E2256" s="17" t="s">
        <v>78</v>
      </c>
      <c r="F2256" s="17" t="s">
        <v>399</v>
      </c>
      <c r="G2256" s="11" t="s">
        <v>1335</v>
      </c>
      <c r="H2256" s="11" t="s">
        <v>1336</v>
      </c>
      <c r="I2256" s="17" t="s">
        <v>296</v>
      </c>
      <c r="J2256" s="17">
        <v>17.348812079999998</v>
      </c>
      <c r="K2256" s="17">
        <v>-96.53065737</v>
      </c>
      <c r="L2256" s="17" t="str">
        <f>HYPERLINK("https://maps.google.com/?q=17.34881208,-96.53065737", "🔗 Ver Mapa")</f>
        <v>🔗 Ver Mapa</v>
      </c>
    </row>
    <row r="2257" spans="1:12" ht="43.5" x14ac:dyDescent="0.35">
      <c r="A2257" s="5" t="s">
        <v>4</v>
      </c>
      <c r="B2257" s="5" t="s">
        <v>17</v>
      </c>
      <c r="C2257" s="5" t="s">
        <v>1334</v>
      </c>
      <c r="D2257" s="8" t="s">
        <v>64</v>
      </c>
      <c r="E2257" s="16" t="s">
        <v>78</v>
      </c>
      <c r="F2257" s="16" t="s">
        <v>399</v>
      </c>
      <c r="G2257" s="8" t="s">
        <v>1335</v>
      </c>
      <c r="H2257" s="8" t="s">
        <v>1336</v>
      </c>
      <c r="I2257" s="16" t="s">
        <v>296</v>
      </c>
      <c r="J2257" s="16">
        <v>17.34884405</v>
      </c>
      <c r="K2257" s="16">
        <v>-96.531051950000005</v>
      </c>
      <c r="L2257" s="16" t="str">
        <f>HYPERLINK("https://maps.google.com/?q=17.34884405,-96.53105195", "🔗 Ver Mapa")</f>
        <v>🔗 Ver Mapa</v>
      </c>
    </row>
    <row r="2258" spans="1:12" ht="43.5" x14ac:dyDescent="0.35">
      <c r="A2258" s="6" t="s">
        <v>4</v>
      </c>
      <c r="B2258" s="6" t="s">
        <v>17</v>
      </c>
      <c r="C2258" s="6" t="s">
        <v>1334</v>
      </c>
      <c r="D2258" s="11" t="s">
        <v>64</v>
      </c>
      <c r="E2258" s="17" t="s">
        <v>78</v>
      </c>
      <c r="F2258" s="17" t="s">
        <v>399</v>
      </c>
      <c r="G2258" s="11" t="s">
        <v>1335</v>
      </c>
      <c r="H2258" s="11" t="s">
        <v>1336</v>
      </c>
      <c r="I2258" s="17" t="s">
        <v>296</v>
      </c>
      <c r="J2258" s="17">
        <v>17.349034249999999</v>
      </c>
      <c r="K2258" s="17">
        <v>-96.530362839999995</v>
      </c>
      <c r="L2258" s="17" t="str">
        <f>HYPERLINK("https://maps.google.com/?q=17.34903425,-96.53036284", "🔗 Ver Mapa")</f>
        <v>🔗 Ver Mapa</v>
      </c>
    </row>
    <row r="2259" spans="1:12" ht="43.5" x14ac:dyDescent="0.35">
      <c r="A2259" s="5" t="s">
        <v>4</v>
      </c>
      <c r="B2259" s="5" t="s">
        <v>17</v>
      </c>
      <c r="C2259" s="5" t="s">
        <v>1334</v>
      </c>
      <c r="D2259" s="8" t="s">
        <v>64</v>
      </c>
      <c r="E2259" s="16" t="s">
        <v>78</v>
      </c>
      <c r="F2259" s="16" t="s">
        <v>399</v>
      </c>
      <c r="G2259" s="8" t="s">
        <v>1335</v>
      </c>
      <c r="H2259" s="8" t="s">
        <v>1336</v>
      </c>
      <c r="I2259" s="16" t="s">
        <v>296</v>
      </c>
      <c r="J2259" s="16">
        <v>17.349085070000001</v>
      </c>
      <c r="K2259" s="16">
        <v>-96.530089410000002</v>
      </c>
      <c r="L2259" s="16" t="str">
        <f>HYPERLINK("https://maps.google.com/?q=17.34908507,-96.53008941", "🔗 Ver Mapa")</f>
        <v>🔗 Ver Mapa</v>
      </c>
    </row>
    <row r="2260" spans="1:12" ht="43.5" x14ac:dyDescent="0.35">
      <c r="A2260" s="6" t="s">
        <v>4</v>
      </c>
      <c r="B2260" s="6" t="s">
        <v>17</v>
      </c>
      <c r="C2260" s="6" t="s">
        <v>1334</v>
      </c>
      <c r="D2260" s="11" t="s">
        <v>64</v>
      </c>
      <c r="E2260" s="17" t="s">
        <v>78</v>
      </c>
      <c r="F2260" s="17" t="s">
        <v>399</v>
      </c>
      <c r="G2260" s="11" t="s">
        <v>1335</v>
      </c>
      <c r="H2260" s="11" t="s">
        <v>1336</v>
      </c>
      <c r="I2260" s="17" t="s">
        <v>296</v>
      </c>
      <c r="J2260" s="17">
        <v>17.349266350000001</v>
      </c>
      <c r="K2260" s="17">
        <v>-96.529409819999998</v>
      </c>
      <c r="L2260" s="17" t="str">
        <f>HYPERLINK("https://maps.google.com/?q=17.34926635,-96.52940982", "🔗 Ver Mapa")</f>
        <v>🔗 Ver Mapa</v>
      </c>
    </row>
    <row r="2261" spans="1:12" ht="43.5" x14ac:dyDescent="0.35">
      <c r="A2261" s="5" t="s">
        <v>4</v>
      </c>
      <c r="B2261" s="5" t="s">
        <v>17</v>
      </c>
      <c r="C2261" s="5" t="s">
        <v>1334</v>
      </c>
      <c r="D2261" s="8" t="s">
        <v>64</v>
      </c>
      <c r="E2261" s="16" t="s">
        <v>78</v>
      </c>
      <c r="F2261" s="16" t="s">
        <v>399</v>
      </c>
      <c r="G2261" s="8" t="s">
        <v>1335</v>
      </c>
      <c r="H2261" s="8" t="s">
        <v>1336</v>
      </c>
      <c r="I2261" s="16" t="s">
        <v>296</v>
      </c>
      <c r="J2261" s="16">
        <v>17.349487239999998</v>
      </c>
      <c r="K2261" s="16">
        <v>-96.529011850000003</v>
      </c>
      <c r="L2261" s="16" t="str">
        <f>HYPERLINK("https://maps.google.com/?q=17.34948724,-96.52901185", "🔗 Ver Mapa")</f>
        <v>🔗 Ver Mapa</v>
      </c>
    </row>
    <row r="2262" spans="1:12" ht="43.5" x14ac:dyDescent="0.35">
      <c r="A2262" s="6" t="s">
        <v>4</v>
      </c>
      <c r="B2262" s="6" t="s">
        <v>17</v>
      </c>
      <c r="C2262" s="6" t="s">
        <v>1334</v>
      </c>
      <c r="D2262" s="11" t="s">
        <v>64</v>
      </c>
      <c r="E2262" s="17" t="s">
        <v>78</v>
      </c>
      <c r="F2262" s="17" t="s">
        <v>399</v>
      </c>
      <c r="G2262" s="11" t="s">
        <v>1335</v>
      </c>
      <c r="H2262" s="11" t="s">
        <v>1336</v>
      </c>
      <c r="I2262" s="17" t="s">
        <v>296</v>
      </c>
      <c r="J2262" s="17">
        <v>17.349583320000001</v>
      </c>
      <c r="K2262" s="17">
        <v>-96.52874722</v>
      </c>
      <c r="L2262" s="17" t="str">
        <f>HYPERLINK("https://maps.google.com/?q=17.34958332,-96.52874722", "🔗 Ver Mapa")</f>
        <v>🔗 Ver Mapa</v>
      </c>
    </row>
    <row r="2263" spans="1:12" ht="43.5" x14ac:dyDescent="0.35">
      <c r="A2263" s="5" t="s">
        <v>4</v>
      </c>
      <c r="B2263" s="5" t="s">
        <v>17</v>
      </c>
      <c r="C2263" s="5" t="s">
        <v>1334</v>
      </c>
      <c r="D2263" s="8" t="s">
        <v>64</v>
      </c>
      <c r="E2263" s="16" t="s">
        <v>78</v>
      </c>
      <c r="F2263" s="16" t="s">
        <v>399</v>
      </c>
      <c r="G2263" s="8" t="s">
        <v>1335</v>
      </c>
      <c r="H2263" s="8" t="s">
        <v>1336</v>
      </c>
      <c r="I2263" s="16" t="s">
        <v>296</v>
      </c>
      <c r="J2263" s="16">
        <v>17.349708010000001</v>
      </c>
      <c r="K2263" s="16">
        <v>-96.528604470000005</v>
      </c>
      <c r="L2263" s="16" t="str">
        <f>HYPERLINK("https://maps.google.com/?q=17.34970801,-96.52860447", "🔗 Ver Mapa")</f>
        <v>🔗 Ver Mapa</v>
      </c>
    </row>
    <row r="2264" spans="1:12" ht="43.5" x14ac:dyDescent="0.35">
      <c r="A2264" s="6" t="s">
        <v>4</v>
      </c>
      <c r="B2264" s="6" t="s">
        <v>17</v>
      </c>
      <c r="C2264" s="6" t="s">
        <v>1334</v>
      </c>
      <c r="D2264" s="11" t="s">
        <v>64</v>
      </c>
      <c r="E2264" s="17" t="s">
        <v>78</v>
      </c>
      <c r="F2264" s="17" t="s">
        <v>399</v>
      </c>
      <c r="G2264" s="11" t="s">
        <v>1335</v>
      </c>
      <c r="H2264" s="11" t="s">
        <v>1336</v>
      </c>
      <c r="I2264" s="17" t="s">
        <v>296</v>
      </c>
      <c r="J2264" s="17">
        <v>17.350190520000002</v>
      </c>
      <c r="K2264" s="17">
        <v>-96.533300560000001</v>
      </c>
      <c r="L2264" s="17" t="str">
        <f>HYPERLINK("https://maps.google.com/?q=17.35019052,-96.53330056", "🔗 Ver Mapa")</f>
        <v>🔗 Ver Mapa</v>
      </c>
    </row>
    <row r="2265" spans="1:12" ht="43.5" x14ac:dyDescent="0.35">
      <c r="A2265" s="5" t="s">
        <v>4</v>
      </c>
      <c r="B2265" s="5" t="s">
        <v>17</v>
      </c>
      <c r="C2265" s="5" t="s">
        <v>1334</v>
      </c>
      <c r="D2265" s="8" t="s">
        <v>64</v>
      </c>
      <c r="E2265" s="16" t="s">
        <v>78</v>
      </c>
      <c r="F2265" s="16" t="s">
        <v>399</v>
      </c>
      <c r="G2265" s="8" t="s">
        <v>1335</v>
      </c>
      <c r="H2265" s="8" t="s">
        <v>1336</v>
      </c>
      <c r="I2265" s="16" t="s">
        <v>296</v>
      </c>
      <c r="J2265" s="16">
        <v>17.35025443</v>
      </c>
      <c r="K2265" s="16">
        <v>-96.533356130000001</v>
      </c>
      <c r="L2265" s="16" t="str">
        <f>HYPERLINK("https://maps.google.com/?q=17.35025443,-96.53335613", "🔗 Ver Mapa")</f>
        <v>🔗 Ver Mapa</v>
      </c>
    </row>
    <row r="2266" spans="1:12" ht="43.5" x14ac:dyDescent="0.35">
      <c r="A2266" s="6" t="s">
        <v>4</v>
      </c>
      <c r="B2266" s="6" t="s">
        <v>17</v>
      </c>
      <c r="C2266" s="6" t="s">
        <v>1334</v>
      </c>
      <c r="D2266" s="11" t="s">
        <v>64</v>
      </c>
      <c r="E2266" s="17" t="s">
        <v>78</v>
      </c>
      <c r="F2266" s="17" t="s">
        <v>399</v>
      </c>
      <c r="G2266" s="11" t="s">
        <v>1335</v>
      </c>
      <c r="H2266" s="11" t="s">
        <v>1336</v>
      </c>
      <c r="I2266" s="17" t="s">
        <v>296</v>
      </c>
      <c r="J2266" s="17">
        <v>17.350257490000001</v>
      </c>
      <c r="K2266" s="17">
        <v>-96.528484250000005</v>
      </c>
      <c r="L2266" s="17" t="str">
        <f>HYPERLINK("https://maps.google.com/?q=17.35025749,-96.52848425", "🔗 Ver Mapa")</f>
        <v>🔗 Ver Mapa</v>
      </c>
    </row>
    <row r="2267" spans="1:12" ht="43.5" x14ac:dyDescent="0.35">
      <c r="A2267" s="5" t="s">
        <v>4</v>
      </c>
      <c r="B2267" s="5" t="s">
        <v>17</v>
      </c>
      <c r="C2267" s="5" t="s">
        <v>1334</v>
      </c>
      <c r="D2267" s="8" t="s">
        <v>64</v>
      </c>
      <c r="E2267" s="16" t="s">
        <v>78</v>
      </c>
      <c r="F2267" s="16" t="s">
        <v>399</v>
      </c>
      <c r="G2267" s="8" t="s">
        <v>1335</v>
      </c>
      <c r="H2267" s="8" t="s">
        <v>1336</v>
      </c>
      <c r="I2267" s="16" t="s">
        <v>296</v>
      </c>
      <c r="J2267" s="16">
        <v>17.350286759999999</v>
      </c>
      <c r="K2267" s="16">
        <v>-96.534512530000001</v>
      </c>
      <c r="L2267" s="16" t="str">
        <f>HYPERLINK("https://maps.google.com/?q=17.35028676,-96.53451253", "🔗 Ver Mapa")</f>
        <v>🔗 Ver Mapa</v>
      </c>
    </row>
    <row r="2268" spans="1:12" ht="43.5" x14ac:dyDescent="0.35">
      <c r="A2268" s="6" t="s">
        <v>4</v>
      </c>
      <c r="B2268" s="6" t="s">
        <v>17</v>
      </c>
      <c r="C2268" s="6" t="s">
        <v>1334</v>
      </c>
      <c r="D2268" s="11" t="s">
        <v>64</v>
      </c>
      <c r="E2268" s="17" t="s">
        <v>78</v>
      </c>
      <c r="F2268" s="17" t="s">
        <v>399</v>
      </c>
      <c r="G2268" s="11" t="s">
        <v>1335</v>
      </c>
      <c r="H2268" s="11" t="s">
        <v>1336</v>
      </c>
      <c r="I2268" s="17" t="s">
        <v>296</v>
      </c>
      <c r="J2268" s="17">
        <v>17.350387269999999</v>
      </c>
      <c r="K2268" s="17">
        <v>-96.535338839999994</v>
      </c>
      <c r="L2268" s="17" t="str">
        <f>HYPERLINK("https://maps.google.com/?q=17.35038727,-96.53533884", "🔗 Ver Mapa")</f>
        <v>🔗 Ver Mapa</v>
      </c>
    </row>
    <row r="2269" spans="1:12" ht="43.5" x14ac:dyDescent="0.35">
      <c r="A2269" s="5" t="s">
        <v>4</v>
      </c>
      <c r="B2269" s="5" t="s">
        <v>17</v>
      </c>
      <c r="C2269" s="5" t="s">
        <v>1334</v>
      </c>
      <c r="D2269" s="8" t="s">
        <v>64</v>
      </c>
      <c r="E2269" s="16" t="s">
        <v>78</v>
      </c>
      <c r="F2269" s="16" t="s">
        <v>399</v>
      </c>
      <c r="G2269" s="8" t="s">
        <v>1335</v>
      </c>
      <c r="H2269" s="8" t="s">
        <v>1336</v>
      </c>
      <c r="I2269" s="16" t="s">
        <v>296</v>
      </c>
      <c r="J2269" s="16">
        <v>17.35057832</v>
      </c>
      <c r="K2269" s="16">
        <v>-96.536182749999995</v>
      </c>
      <c r="L2269" s="16" t="str">
        <f>HYPERLINK("https://maps.google.com/?q=17.35057832,-96.53618275", "🔗 Ver Mapa")</f>
        <v>🔗 Ver Mapa</v>
      </c>
    </row>
    <row r="2270" spans="1:12" ht="43.5" x14ac:dyDescent="0.35">
      <c r="A2270" s="6" t="s">
        <v>4</v>
      </c>
      <c r="B2270" s="6" t="s">
        <v>17</v>
      </c>
      <c r="C2270" s="6" t="s">
        <v>1334</v>
      </c>
      <c r="D2270" s="11" t="s">
        <v>64</v>
      </c>
      <c r="E2270" s="17" t="s">
        <v>78</v>
      </c>
      <c r="F2270" s="17" t="s">
        <v>399</v>
      </c>
      <c r="G2270" s="11" t="s">
        <v>1335</v>
      </c>
      <c r="H2270" s="11" t="s">
        <v>1336</v>
      </c>
      <c r="I2270" s="17" t="s">
        <v>296</v>
      </c>
      <c r="J2270" s="17">
        <v>17.350654280000001</v>
      </c>
      <c r="K2270" s="17">
        <v>-96.537949909999995</v>
      </c>
      <c r="L2270" s="17" t="str">
        <f>HYPERLINK("https://maps.google.com/?q=17.35065428,-96.53794991", "🔗 Ver Mapa")</f>
        <v>🔗 Ver Mapa</v>
      </c>
    </row>
    <row r="2271" spans="1:12" ht="43.5" x14ac:dyDescent="0.35">
      <c r="A2271" s="5" t="s">
        <v>4</v>
      </c>
      <c r="B2271" s="5" t="s">
        <v>17</v>
      </c>
      <c r="C2271" s="5" t="s">
        <v>1334</v>
      </c>
      <c r="D2271" s="8" t="s">
        <v>64</v>
      </c>
      <c r="E2271" s="16" t="s">
        <v>78</v>
      </c>
      <c r="F2271" s="16" t="s">
        <v>399</v>
      </c>
      <c r="G2271" s="8" t="s">
        <v>1335</v>
      </c>
      <c r="H2271" s="8" t="s">
        <v>1336</v>
      </c>
      <c r="I2271" s="16" t="s">
        <v>296</v>
      </c>
      <c r="J2271" s="16">
        <v>17.350847309999999</v>
      </c>
      <c r="K2271" s="16">
        <v>-96.532360659999995</v>
      </c>
      <c r="L2271" s="16" t="str">
        <f>HYPERLINK("https://maps.google.com/?q=17.35084731,-96.53236066", "🔗 Ver Mapa")</f>
        <v>🔗 Ver Mapa</v>
      </c>
    </row>
    <row r="2272" spans="1:12" ht="43.5" x14ac:dyDescent="0.35">
      <c r="A2272" s="6" t="s">
        <v>4</v>
      </c>
      <c r="B2272" s="6" t="s">
        <v>17</v>
      </c>
      <c r="C2272" s="6" t="s">
        <v>1334</v>
      </c>
      <c r="D2272" s="11" t="s">
        <v>64</v>
      </c>
      <c r="E2272" s="17" t="s">
        <v>78</v>
      </c>
      <c r="F2272" s="17" t="s">
        <v>399</v>
      </c>
      <c r="G2272" s="11" t="s">
        <v>1335</v>
      </c>
      <c r="H2272" s="11" t="s">
        <v>1336</v>
      </c>
      <c r="I2272" s="17" t="s">
        <v>296</v>
      </c>
      <c r="J2272" s="17">
        <v>17.35088674</v>
      </c>
      <c r="K2272" s="17">
        <v>-96.528240690000004</v>
      </c>
      <c r="L2272" s="17" t="str">
        <f>HYPERLINK("https://maps.google.com/?q=17.35088674,-96.52824069", "🔗 Ver Mapa")</f>
        <v>🔗 Ver Mapa</v>
      </c>
    </row>
    <row r="2273" spans="1:12" ht="43.5" x14ac:dyDescent="0.35">
      <c r="A2273" s="5" t="s">
        <v>4</v>
      </c>
      <c r="B2273" s="5" t="s">
        <v>17</v>
      </c>
      <c r="C2273" s="5" t="s">
        <v>1334</v>
      </c>
      <c r="D2273" s="8" t="s">
        <v>64</v>
      </c>
      <c r="E2273" s="16" t="s">
        <v>78</v>
      </c>
      <c r="F2273" s="16" t="s">
        <v>399</v>
      </c>
      <c r="G2273" s="8" t="s">
        <v>1335</v>
      </c>
      <c r="H2273" s="8" t="s">
        <v>1336</v>
      </c>
      <c r="I2273" s="16" t="s">
        <v>296</v>
      </c>
      <c r="J2273" s="16">
        <v>17.350937250000001</v>
      </c>
      <c r="K2273" s="16">
        <v>-96.538924269999995</v>
      </c>
      <c r="L2273" s="16" t="str">
        <f>HYPERLINK("https://maps.google.com/?q=17.35093725,-96.53892427", "🔗 Ver Mapa")</f>
        <v>🔗 Ver Mapa</v>
      </c>
    </row>
    <row r="2274" spans="1:12" ht="43.5" x14ac:dyDescent="0.35">
      <c r="A2274" s="6" t="s">
        <v>4</v>
      </c>
      <c r="B2274" s="6" t="s">
        <v>17</v>
      </c>
      <c r="C2274" s="6" t="s">
        <v>1334</v>
      </c>
      <c r="D2274" s="11" t="s">
        <v>64</v>
      </c>
      <c r="E2274" s="17" t="s">
        <v>78</v>
      </c>
      <c r="F2274" s="17" t="s">
        <v>399</v>
      </c>
      <c r="G2274" s="11" t="s">
        <v>1335</v>
      </c>
      <c r="H2274" s="11" t="s">
        <v>1336</v>
      </c>
      <c r="I2274" s="17" t="s">
        <v>296</v>
      </c>
      <c r="J2274" s="17">
        <v>17.351269649999999</v>
      </c>
      <c r="K2274" s="17">
        <v>-96.531452119999997</v>
      </c>
      <c r="L2274" s="17" t="str">
        <f>HYPERLINK("https://maps.google.com/?q=17.35126965,-96.53145212", "🔗 Ver Mapa")</f>
        <v>🔗 Ver Mapa</v>
      </c>
    </row>
    <row r="2275" spans="1:12" ht="43.5" x14ac:dyDescent="0.35">
      <c r="A2275" s="5" t="s">
        <v>4</v>
      </c>
      <c r="B2275" s="5" t="s">
        <v>17</v>
      </c>
      <c r="C2275" s="5" t="s">
        <v>1334</v>
      </c>
      <c r="D2275" s="8" t="s">
        <v>64</v>
      </c>
      <c r="E2275" s="16" t="s">
        <v>78</v>
      </c>
      <c r="F2275" s="16" t="s">
        <v>399</v>
      </c>
      <c r="G2275" s="8" t="s">
        <v>1335</v>
      </c>
      <c r="H2275" s="8" t="s">
        <v>1336</v>
      </c>
      <c r="I2275" s="16" t="s">
        <v>296</v>
      </c>
      <c r="J2275" s="16">
        <v>17.351428720000001</v>
      </c>
      <c r="K2275" s="16">
        <v>-96.540695290000002</v>
      </c>
      <c r="L2275" s="16" t="str">
        <f>HYPERLINK("https://maps.google.com/?q=17.35142872,-96.54069529", "🔗 Ver Mapa")</f>
        <v>🔗 Ver Mapa</v>
      </c>
    </row>
    <row r="2276" spans="1:12" ht="43.5" x14ac:dyDescent="0.35">
      <c r="A2276" s="6" t="s">
        <v>4</v>
      </c>
      <c r="B2276" s="6" t="s">
        <v>17</v>
      </c>
      <c r="C2276" s="6" t="s">
        <v>1334</v>
      </c>
      <c r="D2276" s="11" t="s">
        <v>64</v>
      </c>
      <c r="E2276" s="17" t="s">
        <v>78</v>
      </c>
      <c r="F2276" s="17" t="s">
        <v>399</v>
      </c>
      <c r="G2276" s="11" t="s">
        <v>1335</v>
      </c>
      <c r="H2276" s="11" t="s">
        <v>1336</v>
      </c>
      <c r="I2276" s="17" t="s">
        <v>296</v>
      </c>
      <c r="J2276" s="17">
        <v>17.351518899999999</v>
      </c>
      <c r="K2276" s="17">
        <v>-96.528232209999999</v>
      </c>
      <c r="L2276" s="17" t="str">
        <f>HYPERLINK("https://maps.google.com/?q=17.3515189,-96.52823221", "🔗 Ver Mapa")</f>
        <v>🔗 Ver Mapa</v>
      </c>
    </row>
    <row r="2277" spans="1:12" ht="43.5" x14ac:dyDescent="0.35">
      <c r="A2277" s="5" t="s">
        <v>4</v>
      </c>
      <c r="B2277" s="5" t="s">
        <v>17</v>
      </c>
      <c r="C2277" s="5" t="s">
        <v>1334</v>
      </c>
      <c r="D2277" s="8" t="s">
        <v>64</v>
      </c>
      <c r="E2277" s="16" t="s">
        <v>78</v>
      </c>
      <c r="F2277" s="16" t="s">
        <v>399</v>
      </c>
      <c r="G2277" s="8" t="s">
        <v>1335</v>
      </c>
      <c r="H2277" s="8" t="s">
        <v>1336</v>
      </c>
      <c r="I2277" s="16" t="s">
        <v>296</v>
      </c>
      <c r="J2277" s="16">
        <v>17.351605589999998</v>
      </c>
      <c r="K2277" s="16">
        <v>-96.530130889999995</v>
      </c>
      <c r="L2277" s="16" t="str">
        <f>HYPERLINK("https://maps.google.com/?q=17.35160559,-96.53013089", "🔗 Ver Mapa")</f>
        <v>🔗 Ver Mapa</v>
      </c>
    </row>
    <row r="2278" spans="1:12" ht="43.5" x14ac:dyDescent="0.35">
      <c r="A2278" s="6" t="s">
        <v>4</v>
      </c>
      <c r="B2278" s="6" t="s">
        <v>17</v>
      </c>
      <c r="C2278" s="6" t="s">
        <v>1334</v>
      </c>
      <c r="D2278" s="11" t="s">
        <v>64</v>
      </c>
      <c r="E2278" s="17" t="s">
        <v>78</v>
      </c>
      <c r="F2278" s="17" t="s">
        <v>399</v>
      </c>
      <c r="G2278" s="11" t="s">
        <v>1335</v>
      </c>
      <c r="H2278" s="11" t="s">
        <v>1336</v>
      </c>
      <c r="I2278" s="17" t="s">
        <v>296</v>
      </c>
      <c r="J2278" s="17">
        <v>17.351635510000001</v>
      </c>
      <c r="K2278" s="17">
        <v>-96.54061729</v>
      </c>
      <c r="L2278" s="17" t="str">
        <f>HYPERLINK("https://maps.google.com/?q=17.35163551,-96.54061729", "🔗 Ver Mapa")</f>
        <v>🔗 Ver Mapa</v>
      </c>
    </row>
    <row r="2279" spans="1:12" ht="43.5" x14ac:dyDescent="0.35">
      <c r="A2279" s="5" t="s">
        <v>4</v>
      </c>
      <c r="B2279" s="5" t="s">
        <v>17</v>
      </c>
      <c r="C2279" s="5" t="s">
        <v>1334</v>
      </c>
      <c r="D2279" s="8" t="s">
        <v>64</v>
      </c>
      <c r="E2279" s="16" t="s">
        <v>78</v>
      </c>
      <c r="F2279" s="16" t="s">
        <v>399</v>
      </c>
      <c r="G2279" s="8" t="s">
        <v>1335</v>
      </c>
      <c r="H2279" s="8" t="s">
        <v>1336</v>
      </c>
      <c r="I2279" s="16" t="s">
        <v>296</v>
      </c>
      <c r="J2279" s="16">
        <v>17.351709150000001</v>
      </c>
      <c r="K2279" s="16">
        <v>-96.539995559999994</v>
      </c>
      <c r="L2279" s="16" t="str">
        <f>HYPERLINK("https://maps.google.com/?q=17.35170915,-96.53999556", "🔗 Ver Mapa")</f>
        <v>🔗 Ver Mapa</v>
      </c>
    </row>
    <row r="2280" spans="1:12" ht="43.5" x14ac:dyDescent="0.35">
      <c r="A2280" s="6" t="s">
        <v>4</v>
      </c>
      <c r="B2280" s="6" t="s">
        <v>17</v>
      </c>
      <c r="C2280" s="6" t="s">
        <v>1334</v>
      </c>
      <c r="D2280" s="11" t="s">
        <v>64</v>
      </c>
      <c r="E2280" s="17" t="s">
        <v>78</v>
      </c>
      <c r="F2280" s="17" t="s">
        <v>399</v>
      </c>
      <c r="G2280" s="11" t="s">
        <v>1335</v>
      </c>
      <c r="H2280" s="11" t="s">
        <v>1336</v>
      </c>
      <c r="I2280" s="17" t="s">
        <v>296</v>
      </c>
      <c r="J2280" s="17">
        <v>17.35188329</v>
      </c>
      <c r="K2280" s="17">
        <v>-96.53946655</v>
      </c>
      <c r="L2280" s="17" t="str">
        <f>HYPERLINK("https://maps.google.com/?q=17.35188329,-96.53946655", "🔗 Ver Mapa")</f>
        <v>🔗 Ver Mapa</v>
      </c>
    </row>
    <row r="2281" spans="1:12" ht="43.5" x14ac:dyDescent="0.35">
      <c r="A2281" s="5" t="s">
        <v>4</v>
      </c>
      <c r="B2281" s="5" t="s">
        <v>17</v>
      </c>
      <c r="C2281" s="5" t="s">
        <v>1334</v>
      </c>
      <c r="D2281" s="8" t="s">
        <v>64</v>
      </c>
      <c r="E2281" s="16" t="s">
        <v>78</v>
      </c>
      <c r="F2281" s="16" t="s">
        <v>399</v>
      </c>
      <c r="G2281" s="8" t="s">
        <v>1335</v>
      </c>
      <c r="H2281" s="8" t="s">
        <v>1336</v>
      </c>
      <c r="I2281" s="16" t="s">
        <v>296</v>
      </c>
      <c r="J2281" s="16">
        <v>17.352167250000001</v>
      </c>
      <c r="K2281" s="16">
        <v>-96.528073039999995</v>
      </c>
      <c r="L2281" s="16" t="str">
        <f>HYPERLINK("https://maps.google.com/?q=17.35216725,-96.52807304", "🔗 Ver Mapa")</f>
        <v>🔗 Ver Mapa</v>
      </c>
    </row>
    <row r="2282" spans="1:12" ht="43.5" x14ac:dyDescent="0.35">
      <c r="A2282" s="6" t="s">
        <v>4</v>
      </c>
      <c r="B2282" s="6" t="s">
        <v>17</v>
      </c>
      <c r="C2282" s="6" t="s">
        <v>1334</v>
      </c>
      <c r="D2282" s="11" t="s">
        <v>64</v>
      </c>
      <c r="E2282" s="17" t="s">
        <v>78</v>
      </c>
      <c r="F2282" s="17" t="s">
        <v>399</v>
      </c>
      <c r="G2282" s="11" t="s">
        <v>1335</v>
      </c>
      <c r="H2282" s="11" t="s">
        <v>1336</v>
      </c>
      <c r="I2282" s="17" t="s">
        <v>296</v>
      </c>
      <c r="J2282" s="17">
        <v>17.352253319999999</v>
      </c>
      <c r="K2282" s="17">
        <v>-96.537975579999994</v>
      </c>
      <c r="L2282" s="17" t="str">
        <f>HYPERLINK("https://maps.google.com/?q=17.35225332,-96.53797558", "🔗 Ver Mapa")</f>
        <v>🔗 Ver Mapa</v>
      </c>
    </row>
    <row r="2283" spans="1:12" ht="43.5" x14ac:dyDescent="0.35">
      <c r="A2283" s="5" t="s">
        <v>4</v>
      </c>
      <c r="B2283" s="5" t="s">
        <v>17</v>
      </c>
      <c r="C2283" s="5" t="s">
        <v>1334</v>
      </c>
      <c r="D2283" s="8" t="s">
        <v>64</v>
      </c>
      <c r="E2283" s="16" t="s">
        <v>78</v>
      </c>
      <c r="F2283" s="16" t="s">
        <v>399</v>
      </c>
      <c r="G2283" s="8" t="s">
        <v>1335</v>
      </c>
      <c r="H2283" s="8" t="s">
        <v>1336</v>
      </c>
      <c r="I2283" s="16" t="s">
        <v>296</v>
      </c>
      <c r="J2283" s="16">
        <v>17.352305690000001</v>
      </c>
      <c r="K2283" s="16">
        <v>-96.529773520000006</v>
      </c>
      <c r="L2283" s="16" t="str">
        <f>HYPERLINK("https://maps.google.com/?q=17.35230569,-96.52977352", "🔗 Ver Mapa")</f>
        <v>🔗 Ver Mapa</v>
      </c>
    </row>
    <row r="2284" spans="1:12" ht="43.5" x14ac:dyDescent="0.35">
      <c r="A2284" s="6" t="s">
        <v>4</v>
      </c>
      <c r="B2284" s="6" t="s">
        <v>17</v>
      </c>
      <c r="C2284" s="6" t="s">
        <v>1334</v>
      </c>
      <c r="D2284" s="11" t="s">
        <v>64</v>
      </c>
      <c r="E2284" s="17" t="s">
        <v>78</v>
      </c>
      <c r="F2284" s="17" t="s">
        <v>399</v>
      </c>
      <c r="G2284" s="11" t="s">
        <v>1335</v>
      </c>
      <c r="H2284" s="11" t="s">
        <v>1336</v>
      </c>
      <c r="I2284" s="17" t="s">
        <v>296</v>
      </c>
      <c r="J2284" s="17">
        <v>17.352323370000001</v>
      </c>
      <c r="K2284" s="17">
        <v>-96.538529550000007</v>
      </c>
      <c r="L2284" s="17" t="str">
        <f>HYPERLINK("https://maps.google.com/?q=17.35232337,-96.53852955", "🔗 Ver Mapa")</f>
        <v>🔗 Ver Mapa</v>
      </c>
    </row>
    <row r="2285" spans="1:12" ht="43.5" x14ac:dyDescent="0.35">
      <c r="A2285" s="5" t="s">
        <v>4</v>
      </c>
      <c r="B2285" s="5" t="s">
        <v>17</v>
      </c>
      <c r="C2285" s="5" t="s">
        <v>1334</v>
      </c>
      <c r="D2285" s="8" t="s">
        <v>64</v>
      </c>
      <c r="E2285" s="16" t="s">
        <v>78</v>
      </c>
      <c r="F2285" s="16" t="s">
        <v>399</v>
      </c>
      <c r="G2285" s="8" t="s">
        <v>1335</v>
      </c>
      <c r="H2285" s="8" t="s">
        <v>1336</v>
      </c>
      <c r="I2285" s="16" t="s">
        <v>296</v>
      </c>
      <c r="J2285" s="16">
        <v>17.352379169999999</v>
      </c>
      <c r="K2285" s="16">
        <v>-96.537193259999995</v>
      </c>
      <c r="L2285" s="16" t="str">
        <f>HYPERLINK("https://maps.google.com/?q=17.35237917,-96.53719326", "🔗 Ver Mapa")</f>
        <v>🔗 Ver Mapa</v>
      </c>
    </row>
    <row r="2286" spans="1:12" ht="43.5" x14ac:dyDescent="0.35">
      <c r="A2286" s="6" t="s">
        <v>4</v>
      </c>
      <c r="B2286" s="6" t="s">
        <v>17</v>
      </c>
      <c r="C2286" s="6" t="s">
        <v>1334</v>
      </c>
      <c r="D2286" s="11" t="s">
        <v>64</v>
      </c>
      <c r="E2286" s="17" t="s">
        <v>78</v>
      </c>
      <c r="F2286" s="17" t="s">
        <v>399</v>
      </c>
      <c r="G2286" s="11" t="s">
        <v>1335</v>
      </c>
      <c r="H2286" s="11" t="s">
        <v>1336</v>
      </c>
      <c r="I2286" s="17" t="s">
        <v>296</v>
      </c>
      <c r="J2286" s="17">
        <v>17.352564959999999</v>
      </c>
      <c r="K2286" s="17">
        <v>-96.528095919999998</v>
      </c>
      <c r="L2286" s="17" t="str">
        <f>HYPERLINK("https://maps.google.com/?q=17.35256496,-96.52809592", "🔗 Ver Mapa")</f>
        <v>🔗 Ver Mapa</v>
      </c>
    </row>
    <row r="2287" spans="1:12" ht="43.5" x14ac:dyDescent="0.35">
      <c r="A2287" s="5" t="s">
        <v>4</v>
      </c>
      <c r="B2287" s="5" t="s">
        <v>17</v>
      </c>
      <c r="C2287" s="5" t="s">
        <v>1334</v>
      </c>
      <c r="D2287" s="8" t="s">
        <v>64</v>
      </c>
      <c r="E2287" s="16" t="s">
        <v>78</v>
      </c>
      <c r="F2287" s="16" t="s">
        <v>399</v>
      </c>
      <c r="G2287" s="8" t="s">
        <v>1335</v>
      </c>
      <c r="H2287" s="8" t="s">
        <v>1336</v>
      </c>
      <c r="I2287" s="16" t="s">
        <v>296</v>
      </c>
      <c r="J2287" s="16">
        <v>17.352612000000001</v>
      </c>
      <c r="K2287" s="16">
        <v>-96.537030259999995</v>
      </c>
      <c r="L2287" s="16" t="str">
        <f>HYPERLINK("https://maps.google.com/?q=17.352612,-96.53703026", "🔗 Ver Mapa")</f>
        <v>🔗 Ver Mapa</v>
      </c>
    </row>
    <row r="2288" spans="1:12" ht="43.5" x14ac:dyDescent="0.35">
      <c r="A2288" s="6" t="s">
        <v>4</v>
      </c>
      <c r="B2288" s="6" t="s">
        <v>17</v>
      </c>
      <c r="C2288" s="6" t="s">
        <v>1334</v>
      </c>
      <c r="D2288" s="11" t="s">
        <v>64</v>
      </c>
      <c r="E2288" s="17" t="s">
        <v>78</v>
      </c>
      <c r="F2288" s="17" t="s">
        <v>399</v>
      </c>
      <c r="G2288" s="11" t="s">
        <v>1335</v>
      </c>
      <c r="H2288" s="11" t="s">
        <v>1336</v>
      </c>
      <c r="I2288" s="17" t="s">
        <v>296</v>
      </c>
      <c r="J2288" s="17">
        <v>17.352780920000001</v>
      </c>
      <c r="K2288" s="17">
        <v>-96.528760800000001</v>
      </c>
      <c r="L2288" s="17" t="str">
        <f>HYPERLINK("https://maps.google.com/?q=17.35278092,-96.5287608", "🔗 Ver Mapa")</f>
        <v>🔗 Ver Mapa</v>
      </c>
    </row>
    <row r="2289" spans="1:12" ht="43.5" x14ac:dyDescent="0.35">
      <c r="A2289" s="5" t="s">
        <v>4</v>
      </c>
      <c r="B2289" s="5" t="s">
        <v>17</v>
      </c>
      <c r="C2289" s="5" t="s">
        <v>1334</v>
      </c>
      <c r="D2289" s="8" t="s">
        <v>64</v>
      </c>
      <c r="E2289" s="16" t="s">
        <v>78</v>
      </c>
      <c r="F2289" s="16" t="s">
        <v>399</v>
      </c>
      <c r="G2289" s="8" t="s">
        <v>1335</v>
      </c>
      <c r="H2289" s="8" t="s">
        <v>1336</v>
      </c>
      <c r="I2289" s="16" t="s">
        <v>296</v>
      </c>
      <c r="J2289" s="16">
        <v>17.353140830000001</v>
      </c>
      <c r="K2289" s="16">
        <v>-96.527918909999997</v>
      </c>
      <c r="L2289" s="16" t="str">
        <f>HYPERLINK("https://maps.google.com/?q=17.35314083,-96.52791891", "🔗 Ver Mapa")</f>
        <v>🔗 Ver Mapa</v>
      </c>
    </row>
    <row r="2290" spans="1:12" ht="43.5" x14ac:dyDescent="0.35">
      <c r="A2290" s="6" t="s">
        <v>4</v>
      </c>
      <c r="B2290" s="6" t="s">
        <v>17</v>
      </c>
      <c r="C2290" s="6" t="s">
        <v>1334</v>
      </c>
      <c r="D2290" s="11" t="s">
        <v>64</v>
      </c>
      <c r="E2290" s="17" t="s">
        <v>78</v>
      </c>
      <c r="F2290" s="17" t="s">
        <v>399</v>
      </c>
      <c r="G2290" s="11" t="s">
        <v>1335</v>
      </c>
      <c r="H2290" s="11" t="s">
        <v>1336</v>
      </c>
      <c r="I2290" s="17" t="s">
        <v>296</v>
      </c>
      <c r="J2290" s="17">
        <v>17.353206419999999</v>
      </c>
      <c r="K2290" s="17">
        <v>-96.536890650000004</v>
      </c>
      <c r="L2290" s="17" t="str">
        <f>HYPERLINK("https://maps.google.com/?q=17.35320642,-96.53689065", "🔗 Ver Mapa")</f>
        <v>🔗 Ver Mapa</v>
      </c>
    </row>
    <row r="2291" spans="1:12" ht="43.5" x14ac:dyDescent="0.35">
      <c r="A2291" s="5" t="s">
        <v>4</v>
      </c>
      <c r="B2291" s="5" t="s">
        <v>17</v>
      </c>
      <c r="C2291" s="5" t="s">
        <v>1334</v>
      </c>
      <c r="D2291" s="8" t="s">
        <v>64</v>
      </c>
      <c r="E2291" s="16" t="s">
        <v>78</v>
      </c>
      <c r="F2291" s="16" t="s">
        <v>399</v>
      </c>
      <c r="G2291" s="8" t="s">
        <v>1335</v>
      </c>
      <c r="H2291" s="8" t="s">
        <v>1336</v>
      </c>
      <c r="I2291" s="16" t="s">
        <v>296</v>
      </c>
      <c r="J2291" s="16">
        <v>17.353340719999998</v>
      </c>
      <c r="K2291" s="16">
        <v>-96.536794799999996</v>
      </c>
      <c r="L2291" s="16" t="str">
        <f>HYPERLINK("https://maps.google.com/?q=17.35334072,-96.5367948", "🔗 Ver Mapa")</f>
        <v>🔗 Ver Mapa</v>
      </c>
    </row>
    <row r="2292" spans="1:12" ht="43.5" x14ac:dyDescent="0.35">
      <c r="A2292" s="6" t="s">
        <v>4</v>
      </c>
      <c r="B2292" s="6" t="s">
        <v>17</v>
      </c>
      <c r="C2292" s="6" t="s">
        <v>1334</v>
      </c>
      <c r="D2292" s="11" t="s">
        <v>64</v>
      </c>
      <c r="E2292" s="17" t="s">
        <v>78</v>
      </c>
      <c r="F2292" s="17" t="s">
        <v>399</v>
      </c>
      <c r="G2292" s="11" t="s">
        <v>1335</v>
      </c>
      <c r="H2292" s="11" t="s">
        <v>1336</v>
      </c>
      <c r="I2292" s="17" t="s">
        <v>296</v>
      </c>
      <c r="J2292" s="17">
        <v>17.353454230000001</v>
      </c>
      <c r="K2292" s="17">
        <v>-96.527698380000004</v>
      </c>
      <c r="L2292" s="17" t="str">
        <f>HYPERLINK("https://maps.google.com/?q=17.35345423,-96.52769838", "🔗 Ver Mapa")</f>
        <v>🔗 Ver Mapa</v>
      </c>
    </row>
    <row r="2293" spans="1:12" ht="43.5" x14ac:dyDescent="0.35">
      <c r="A2293" s="5" t="s">
        <v>4</v>
      </c>
      <c r="B2293" s="5" t="s">
        <v>17</v>
      </c>
      <c r="C2293" s="5" t="s">
        <v>1334</v>
      </c>
      <c r="D2293" s="8" t="s">
        <v>64</v>
      </c>
      <c r="E2293" s="16" t="s">
        <v>78</v>
      </c>
      <c r="F2293" s="16" t="s">
        <v>399</v>
      </c>
      <c r="G2293" s="8" t="s">
        <v>1335</v>
      </c>
      <c r="H2293" s="8" t="s">
        <v>1336</v>
      </c>
      <c r="I2293" s="16" t="s">
        <v>296</v>
      </c>
      <c r="J2293" s="16">
        <v>17.353550850000001</v>
      </c>
      <c r="K2293" s="16">
        <v>-96.536255890000007</v>
      </c>
      <c r="L2293" s="16" t="str">
        <f>HYPERLINK("https://maps.google.com/?q=17.35355085,-96.53625589", "🔗 Ver Mapa")</f>
        <v>🔗 Ver Mapa</v>
      </c>
    </row>
    <row r="2294" spans="1:12" ht="43.5" x14ac:dyDescent="0.35">
      <c r="A2294" s="6" t="s">
        <v>4</v>
      </c>
      <c r="B2294" s="6" t="s">
        <v>17</v>
      </c>
      <c r="C2294" s="6" t="s">
        <v>1334</v>
      </c>
      <c r="D2294" s="11" t="s">
        <v>64</v>
      </c>
      <c r="E2294" s="17" t="s">
        <v>78</v>
      </c>
      <c r="F2294" s="17" t="s">
        <v>399</v>
      </c>
      <c r="G2294" s="11" t="s">
        <v>1335</v>
      </c>
      <c r="H2294" s="11" t="s">
        <v>1336</v>
      </c>
      <c r="I2294" s="17" t="s">
        <v>296</v>
      </c>
      <c r="J2294" s="17">
        <v>17.353741509999999</v>
      </c>
      <c r="K2294" s="17">
        <v>-96.528287059999997</v>
      </c>
      <c r="L2294" s="17" t="str">
        <f>HYPERLINK("https://maps.google.com/?q=17.35374151,-96.52828706", "🔗 Ver Mapa")</f>
        <v>🔗 Ver Mapa</v>
      </c>
    </row>
    <row r="2295" spans="1:12" ht="43.5" x14ac:dyDescent="0.35">
      <c r="A2295" s="5" t="s">
        <v>4</v>
      </c>
      <c r="B2295" s="5" t="s">
        <v>17</v>
      </c>
      <c r="C2295" s="5" t="s">
        <v>1334</v>
      </c>
      <c r="D2295" s="8" t="s">
        <v>64</v>
      </c>
      <c r="E2295" s="16" t="s">
        <v>78</v>
      </c>
      <c r="F2295" s="16" t="s">
        <v>399</v>
      </c>
      <c r="G2295" s="8" t="s">
        <v>1335</v>
      </c>
      <c r="H2295" s="8" t="s">
        <v>1336</v>
      </c>
      <c r="I2295" s="16" t="s">
        <v>296</v>
      </c>
      <c r="J2295" s="16">
        <v>17.35390426</v>
      </c>
      <c r="K2295" s="16">
        <v>-96.527570080000004</v>
      </c>
      <c r="L2295" s="16" t="str">
        <f>HYPERLINK("https://maps.google.com/?q=17.35390426,-96.52757008", "🔗 Ver Mapa")</f>
        <v>🔗 Ver Mapa</v>
      </c>
    </row>
    <row r="2296" spans="1:12" ht="43.5" x14ac:dyDescent="0.35">
      <c r="A2296" s="6" t="s">
        <v>4</v>
      </c>
      <c r="B2296" s="6" t="s">
        <v>17</v>
      </c>
      <c r="C2296" s="6" t="s">
        <v>1334</v>
      </c>
      <c r="D2296" s="11" t="s">
        <v>64</v>
      </c>
      <c r="E2296" s="17" t="s">
        <v>78</v>
      </c>
      <c r="F2296" s="17" t="s">
        <v>399</v>
      </c>
      <c r="G2296" s="11" t="s">
        <v>1335</v>
      </c>
      <c r="H2296" s="11" t="s">
        <v>1336</v>
      </c>
      <c r="I2296" s="17" t="s">
        <v>296</v>
      </c>
      <c r="J2296" s="17">
        <v>17.353929919999999</v>
      </c>
      <c r="K2296" s="17">
        <v>-96.53623202</v>
      </c>
      <c r="L2296" s="17" t="str">
        <f>HYPERLINK("https://maps.google.com/?q=17.35392992,-96.53623202", "🔗 Ver Mapa")</f>
        <v>🔗 Ver Mapa</v>
      </c>
    </row>
    <row r="2297" spans="1:12" ht="43.5" x14ac:dyDescent="0.35">
      <c r="A2297" s="5" t="s">
        <v>4</v>
      </c>
      <c r="B2297" s="5" t="s">
        <v>17</v>
      </c>
      <c r="C2297" s="5" t="s">
        <v>1334</v>
      </c>
      <c r="D2297" s="8" t="s">
        <v>64</v>
      </c>
      <c r="E2297" s="16" t="s">
        <v>78</v>
      </c>
      <c r="F2297" s="16" t="s">
        <v>399</v>
      </c>
      <c r="G2297" s="8" t="s">
        <v>1335</v>
      </c>
      <c r="H2297" s="8" t="s">
        <v>1336</v>
      </c>
      <c r="I2297" s="16" t="s">
        <v>296</v>
      </c>
      <c r="J2297" s="16">
        <v>17.354162519999999</v>
      </c>
      <c r="K2297" s="16">
        <v>-96.536050209999999</v>
      </c>
      <c r="L2297" s="16" t="str">
        <f>HYPERLINK("https://maps.google.com/?q=17.35416252,-96.53605021", "🔗 Ver Mapa")</f>
        <v>🔗 Ver Mapa</v>
      </c>
    </row>
    <row r="2298" spans="1:12" ht="43.5" x14ac:dyDescent="0.35">
      <c r="A2298" s="6" t="s">
        <v>4</v>
      </c>
      <c r="B2298" s="6" t="s">
        <v>17</v>
      </c>
      <c r="C2298" s="6" t="s">
        <v>1334</v>
      </c>
      <c r="D2298" s="11" t="s">
        <v>64</v>
      </c>
      <c r="E2298" s="17" t="s">
        <v>78</v>
      </c>
      <c r="F2298" s="17" t="s">
        <v>399</v>
      </c>
      <c r="G2298" s="11" t="s">
        <v>1335</v>
      </c>
      <c r="H2298" s="11" t="s">
        <v>1336</v>
      </c>
      <c r="I2298" s="17" t="s">
        <v>296</v>
      </c>
      <c r="J2298" s="17">
        <v>17.35421848</v>
      </c>
      <c r="K2298" s="17">
        <v>-96.527415379999994</v>
      </c>
      <c r="L2298" s="17" t="str">
        <f>HYPERLINK("https://maps.google.com/?q=17.35421848,-96.52741538", "🔗 Ver Mapa")</f>
        <v>🔗 Ver Mapa</v>
      </c>
    </row>
    <row r="2299" spans="1:12" ht="43.5" x14ac:dyDescent="0.35">
      <c r="A2299" s="5" t="s">
        <v>4</v>
      </c>
      <c r="B2299" s="5" t="s">
        <v>17</v>
      </c>
      <c r="C2299" s="5" t="s">
        <v>1334</v>
      </c>
      <c r="D2299" s="8" t="s">
        <v>64</v>
      </c>
      <c r="E2299" s="16" t="s">
        <v>78</v>
      </c>
      <c r="F2299" s="16" t="s">
        <v>399</v>
      </c>
      <c r="G2299" s="8" t="s">
        <v>1335</v>
      </c>
      <c r="H2299" s="8" t="s">
        <v>1336</v>
      </c>
      <c r="I2299" s="16" t="s">
        <v>296</v>
      </c>
      <c r="J2299" s="16">
        <v>17.35423677</v>
      </c>
      <c r="K2299" s="16">
        <v>-96.527433950000002</v>
      </c>
      <c r="L2299" s="16" t="str">
        <f>HYPERLINK("https://maps.google.com/?q=17.35423677,-96.52743395", "🔗 Ver Mapa")</f>
        <v>🔗 Ver Mapa</v>
      </c>
    </row>
    <row r="2300" spans="1:12" ht="43.5" x14ac:dyDescent="0.35">
      <c r="A2300" s="6" t="s">
        <v>4</v>
      </c>
      <c r="B2300" s="6" t="s">
        <v>17</v>
      </c>
      <c r="C2300" s="6" t="s">
        <v>1334</v>
      </c>
      <c r="D2300" s="11" t="s">
        <v>64</v>
      </c>
      <c r="E2300" s="17" t="s">
        <v>78</v>
      </c>
      <c r="F2300" s="17" t="s">
        <v>399</v>
      </c>
      <c r="G2300" s="11" t="s">
        <v>1335</v>
      </c>
      <c r="H2300" s="11" t="s">
        <v>1336</v>
      </c>
      <c r="I2300" s="17" t="s">
        <v>296</v>
      </c>
      <c r="J2300" s="17">
        <v>17.354550490000001</v>
      </c>
      <c r="K2300" s="17">
        <v>-96.536016799999999</v>
      </c>
      <c r="L2300" s="17" t="str">
        <f>HYPERLINK("https://maps.google.com/?q=17.35455049,-96.5360168", "🔗 Ver Mapa")</f>
        <v>🔗 Ver Mapa</v>
      </c>
    </row>
    <row r="2301" spans="1:12" ht="43.5" x14ac:dyDescent="0.35">
      <c r="A2301" s="5" t="s">
        <v>4</v>
      </c>
      <c r="B2301" s="5" t="s">
        <v>17</v>
      </c>
      <c r="C2301" s="5" t="s">
        <v>1334</v>
      </c>
      <c r="D2301" s="8" t="s">
        <v>64</v>
      </c>
      <c r="E2301" s="16" t="s">
        <v>78</v>
      </c>
      <c r="F2301" s="16" t="s">
        <v>399</v>
      </c>
      <c r="G2301" s="8" t="s">
        <v>1335</v>
      </c>
      <c r="H2301" s="8" t="s">
        <v>1336</v>
      </c>
      <c r="I2301" s="16" t="s">
        <v>296</v>
      </c>
      <c r="J2301" s="16">
        <v>17.3552043</v>
      </c>
      <c r="K2301" s="16">
        <v>-96.535566009999997</v>
      </c>
      <c r="L2301" s="16" t="str">
        <f>HYPERLINK("https://maps.google.com/?q=17.3552043,-96.53556601", "🔗 Ver Mapa")</f>
        <v>🔗 Ver Mapa</v>
      </c>
    </row>
    <row r="2302" spans="1:12" ht="43.5" x14ac:dyDescent="0.35">
      <c r="A2302" s="6" t="s">
        <v>4</v>
      </c>
      <c r="B2302" s="6" t="s">
        <v>17</v>
      </c>
      <c r="C2302" s="6" t="s">
        <v>1334</v>
      </c>
      <c r="D2302" s="11" t="s">
        <v>64</v>
      </c>
      <c r="E2302" s="17" t="s">
        <v>78</v>
      </c>
      <c r="F2302" s="17" t="s">
        <v>399</v>
      </c>
      <c r="G2302" s="11" t="s">
        <v>1335</v>
      </c>
      <c r="H2302" s="11" t="s">
        <v>1336</v>
      </c>
      <c r="I2302" s="17" t="s">
        <v>296</v>
      </c>
      <c r="J2302" s="17">
        <v>17.355213859999999</v>
      </c>
      <c r="K2302" s="17">
        <v>-96.533412049999995</v>
      </c>
      <c r="L2302" s="17" t="str">
        <f>HYPERLINK("https://maps.google.com/?q=17.35521386,-96.53341205", "🔗 Ver Mapa")</f>
        <v>🔗 Ver Mapa</v>
      </c>
    </row>
    <row r="2303" spans="1:12" ht="43.5" x14ac:dyDescent="0.35">
      <c r="A2303" s="5" t="s">
        <v>4</v>
      </c>
      <c r="B2303" s="5" t="s">
        <v>17</v>
      </c>
      <c r="C2303" s="5" t="s">
        <v>1334</v>
      </c>
      <c r="D2303" s="8" t="s">
        <v>64</v>
      </c>
      <c r="E2303" s="16" t="s">
        <v>78</v>
      </c>
      <c r="F2303" s="16" t="s">
        <v>399</v>
      </c>
      <c r="G2303" s="8" t="s">
        <v>1335</v>
      </c>
      <c r="H2303" s="8" t="s">
        <v>1336</v>
      </c>
      <c r="I2303" s="16" t="s">
        <v>296</v>
      </c>
      <c r="J2303" s="16">
        <v>17.35521683</v>
      </c>
      <c r="K2303" s="16">
        <v>-96.532189310000007</v>
      </c>
      <c r="L2303" s="16" t="str">
        <f>HYPERLINK("https://maps.google.com/?q=17.35521683,-96.53218931", "🔗 Ver Mapa")</f>
        <v>🔗 Ver Mapa</v>
      </c>
    </row>
    <row r="2304" spans="1:12" ht="43.5" x14ac:dyDescent="0.35">
      <c r="A2304" s="6" t="s">
        <v>4</v>
      </c>
      <c r="B2304" s="6" t="s">
        <v>17</v>
      </c>
      <c r="C2304" s="6" t="s">
        <v>1334</v>
      </c>
      <c r="D2304" s="11" t="s">
        <v>64</v>
      </c>
      <c r="E2304" s="17" t="s">
        <v>78</v>
      </c>
      <c r="F2304" s="17" t="s">
        <v>399</v>
      </c>
      <c r="G2304" s="11" t="s">
        <v>1335</v>
      </c>
      <c r="H2304" s="11" t="s">
        <v>1336</v>
      </c>
      <c r="I2304" s="17" t="s">
        <v>296</v>
      </c>
      <c r="J2304" s="17">
        <v>17.35523452</v>
      </c>
      <c r="K2304" s="17">
        <v>-96.531427239999999</v>
      </c>
      <c r="L2304" s="17" t="str">
        <f>HYPERLINK("https://maps.google.com/?q=17.35523452,-96.53142724", "🔗 Ver Mapa")</f>
        <v>🔗 Ver Mapa</v>
      </c>
    </row>
    <row r="2305" spans="1:12" ht="43.5" x14ac:dyDescent="0.35">
      <c r="A2305" s="5" t="s">
        <v>4</v>
      </c>
      <c r="B2305" s="5" t="s">
        <v>17</v>
      </c>
      <c r="C2305" s="5" t="s">
        <v>1334</v>
      </c>
      <c r="D2305" s="8" t="s">
        <v>64</v>
      </c>
      <c r="E2305" s="16" t="s">
        <v>78</v>
      </c>
      <c r="F2305" s="16" t="s">
        <v>399</v>
      </c>
      <c r="G2305" s="8" t="s">
        <v>1335</v>
      </c>
      <c r="H2305" s="8" t="s">
        <v>1336</v>
      </c>
      <c r="I2305" s="16" t="s">
        <v>296</v>
      </c>
      <c r="J2305" s="16">
        <v>17.355266919999998</v>
      </c>
      <c r="K2305" s="16">
        <v>-96.531125840000001</v>
      </c>
      <c r="L2305" s="16" t="str">
        <f>HYPERLINK("https://maps.google.com/?q=17.35526692,-96.53112584", "🔗 Ver Mapa")</f>
        <v>🔗 Ver Mapa</v>
      </c>
    </row>
    <row r="2306" spans="1:12" ht="43.5" x14ac:dyDescent="0.35">
      <c r="A2306" s="6" t="s">
        <v>4</v>
      </c>
      <c r="B2306" s="6" t="s">
        <v>17</v>
      </c>
      <c r="C2306" s="6" t="s">
        <v>1334</v>
      </c>
      <c r="D2306" s="11" t="s">
        <v>64</v>
      </c>
      <c r="E2306" s="17" t="s">
        <v>78</v>
      </c>
      <c r="F2306" s="17" t="s">
        <v>399</v>
      </c>
      <c r="G2306" s="11" t="s">
        <v>1335</v>
      </c>
      <c r="H2306" s="11" t="s">
        <v>1336</v>
      </c>
      <c r="I2306" s="17" t="s">
        <v>296</v>
      </c>
      <c r="J2306" s="17">
        <v>17.355276910000001</v>
      </c>
      <c r="K2306" s="17">
        <v>-96.531934570000004</v>
      </c>
      <c r="L2306" s="17" t="str">
        <f>HYPERLINK("https://maps.google.com/?q=17.35527691,-96.53193457", "🔗 Ver Mapa")</f>
        <v>🔗 Ver Mapa</v>
      </c>
    </row>
    <row r="2307" spans="1:12" ht="43.5" x14ac:dyDescent="0.35">
      <c r="A2307" s="5" t="s">
        <v>4</v>
      </c>
      <c r="B2307" s="5" t="s">
        <v>17</v>
      </c>
      <c r="C2307" s="5" t="s">
        <v>1334</v>
      </c>
      <c r="D2307" s="8" t="s">
        <v>64</v>
      </c>
      <c r="E2307" s="16" t="s">
        <v>78</v>
      </c>
      <c r="F2307" s="16" t="s">
        <v>399</v>
      </c>
      <c r="G2307" s="8" t="s">
        <v>1335</v>
      </c>
      <c r="H2307" s="8" t="s">
        <v>1336</v>
      </c>
      <c r="I2307" s="16" t="s">
        <v>296</v>
      </c>
      <c r="J2307" s="16">
        <v>17.35531683</v>
      </c>
      <c r="K2307" s="16">
        <v>-96.535169479999993</v>
      </c>
      <c r="L2307" s="16" t="str">
        <f>HYPERLINK("https://maps.google.com/?q=17.35531683,-96.53516948", "🔗 Ver Mapa")</f>
        <v>🔗 Ver Mapa</v>
      </c>
    </row>
    <row r="2308" spans="1:12" ht="43.5" x14ac:dyDescent="0.35">
      <c r="A2308" s="6" t="s">
        <v>4</v>
      </c>
      <c r="B2308" s="6" t="s">
        <v>17</v>
      </c>
      <c r="C2308" s="6" t="s">
        <v>1334</v>
      </c>
      <c r="D2308" s="11" t="s">
        <v>64</v>
      </c>
      <c r="E2308" s="17" t="s">
        <v>78</v>
      </c>
      <c r="F2308" s="17" t="s">
        <v>399</v>
      </c>
      <c r="G2308" s="11" t="s">
        <v>1335</v>
      </c>
      <c r="H2308" s="11" t="s">
        <v>1336</v>
      </c>
      <c r="I2308" s="17" t="s">
        <v>296</v>
      </c>
      <c r="J2308" s="17">
        <v>17.355354519999999</v>
      </c>
      <c r="K2308" s="17">
        <v>-96.533099789999994</v>
      </c>
      <c r="L2308" s="17" t="str">
        <f>HYPERLINK("https://maps.google.com/?q=17.35535452,-96.53309979", "🔗 Ver Mapa")</f>
        <v>🔗 Ver Mapa</v>
      </c>
    </row>
    <row r="2309" spans="1:12" ht="43.5" x14ac:dyDescent="0.35">
      <c r="A2309" s="5" t="s">
        <v>4</v>
      </c>
      <c r="B2309" s="5" t="s">
        <v>17</v>
      </c>
      <c r="C2309" s="5" t="s">
        <v>1334</v>
      </c>
      <c r="D2309" s="8" t="s">
        <v>64</v>
      </c>
      <c r="E2309" s="16" t="s">
        <v>78</v>
      </c>
      <c r="F2309" s="16" t="s">
        <v>399</v>
      </c>
      <c r="G2309" s="8" t="s">
        <v>1335</v>
      </c>
      <c r="H2309" s="8" t="s">
        <v>1336</v>
      </c>
      <c r="I2309" s="16" t="s">
        <v>296</v>
      </c>
      <c r="J2309" s="16">
        <v>17.355403710000001</v>
      </c>
      <c r="K2309" s="16">
        <v>-96.532694699999993</v>
      </c>
      <c r="L2309" s="16" t="str">
        <f>HYPERLINK("https://maps.google.com/?q=17.35540371,-96.5326947", "🔗 Ver Mapa")</f>
        <v>🔗 Ver Mapa</v>
      </c>
    </row>
    <row r="2310" spans="1:12" ht="43.5" x14ac:dyDescent="0.35">
      <c r="A2310" s="6" t="s">
        <v>4</v>
      </c>
      <c r="B2310" s="6" t="s">
        <v>17</v>
      </c>
      <c r="C2310" s="6" t="s">
        <v>1334</v>
      </c>
      <c r="D2310" s="11" t="s">
        <v>64</v>
      </c>
      <c r="E2310" s="17" t="s">
        <v>78</v>
      </c>
      <c r="F2310" s="17" t="s">
        <v>399</v>
      </c>
      <c r="G2310" s="11" t="s">
        <v>1335</v>
      </c>
      <c r="H2310" s="11" t="s">
        <v>1336</v>
      </c>
      <c r="I2310" s="17" t="s">
        <v>296</v>
      </c>
      <c r="J2310" s="17">
        <v>17.355416600000002</v>
      </c>
      <c r="K2310" s="17">
        <v>-96.533738529999994</v>
      </c>
      <c r="L2310" s="17" t="str">
        <f>HYPERLINK("https://maps.google.com/?q=17.3554166,-96.53373853", "🔗 Ver Mapa")</f>
        <v>🔗 Ver Mapa</v>
      </c>
    </row>
    <row r="2311" spans="1:12" ht="43.5" x14ac:dyDescent="0.35">
      <c r="A2311" s="5" t="s">
        <v>4</v>
      </c>
      <c r="B2311" s="5" t="s">
        <v>17</v>
      </c>
      <c r="C2311" s="5" t="s">
        <v>1334</v>
      </c>
      <c r="D2311" s="8" t="s">
        <v>64</v>
      </c>
      <c r="E2311" s="16" t="s">
        <v>78</v>
      </c>
      <c r="F2311" s="16" t="s">
        <v>399</v>
      </c>
      <c r="G2311" s="8" t="s">
        <v>1335</v>
      </c>
      <c r="H2311" s="8" t="s">
        <v>1336</v>
      </c>
      <c r="I2311" s="16" t="s">
        <v>296</v>
      </c>
      <c r="J2311" s="16">
        <v>17.355433860000002</v>
      </c>
      <c r="K2311" s="16">
        <v>-96.530747390000002</v>
      </c>
      <c r="L2311" s="16" t="str">
        <f>HYPERLINK("https://maps.google.com/?q=17.35543386,-96.53074739", "🔗 Ver Mapa")</f>
        <v>🔗 Ver Mapa</v>
      </c>
    </row>
    <row r="2312" spans="1:12" ht="43.5" x14ac:dyDescent="0.35">
      <c r="A2312" s="6" t="s">
        <v>4</v>
      </c>
      <c r="B2312" s="6" t="s">
        <v>17</v>
      </c>
      <c r="C2312" s="6" t="s">
        <v>1334</v>
      </c>
      <c r="D2312" s="11" t="s">
        <v>64</v>
      </c>
      <c r="E2312" s="17" t="s">
        <v>78</v>
      </c>
      <c r="F2312" s="17" t="s">
        <v>399</v>
      </c>
      <c r="G2312" s="11" t="s">
        <v>1335</v>
      </c>
      <c r="H2312" s="11" t="s">
        <v>1336</v>
      </c>
      <c r="I2312" s="17" t="s">
        <v>296</v>
      </c>
      <c r="J2312" s="17">
        <v>17.355457959999999</v>
      </c>
      <c r="K2312" s="17">
        <v>-96.534894840000007</v>
      </c>
      <c r="L2312" s="17" t="str">
        <f>HYPERLINK("https://maps.google.com/?q=17.35545796,-96.53489484", "🔗 Ver Mapa")</f>
        <v>🔗 Ver Mapa</v>
      </c>
    </row>
    <row r="2313" spans="1:12" ht="43.5" x14ac:dyDescent="0.35">
      <c r="A2313" s="5" t="s">
        <v>4</v>
      </c>
      <c r="B2313" s="5" t="s">
        <v>17</v>
      </c>
      <c r="C2313" s="5" t="s">
        <v>1334</v>
      </c>
      <c r="D2313" s="8" t="s">
        <v>64</v>
      </c>
      <c r="E2313" s="16" t="s">
        <v>78</v>
      </c>
      <c r="F2313" s="16" t="s">
        <v>399</v>
      </c>
      <c r="G2313" s="8" t="s">
        <v>1335</v>
      </c>
      <c r="H2313" s="8" t="s">
        <v>1336</v>
      </c>
      <c r="I2313" s="16" t="s">
        <v>296</v>
      </c>
      <c r="J2313" s="16">
        <v>17.35546987</v>
      </c>
      <c r="K2313" s="16">
        <v>-96.534396189999995</v>
      </c>
      <c r="L2313" s="16" t="str">
        <f>HYPERLINK("https://maps.google.com/?q=17.35546987,-96.53439619", "🔗 Ver Mapa")</f>
        <v>🔗 Ver Mapa</v>
      </c>
    </row>
    <row r="2314" spans="1:12" ht="43.5" x14ac:dyDescent="0.35">
      <c r="A2314" s="6" t="s">
        <v>4</v>
      </c>
      <c r="B2314" s="6" t="s">
        <v>17</v>
      </c>
      <c r="C2314" s="6" t="s">
        <v>1334</v>
      </c>
      <c r="D2314" s="11" t="s">
        <v>64</v>
      </c>
      <c r="E2314" s="17" t="s">
        <v>78</v>
      </c>
      <c r="F2314" s="17" t="s">
        <v>399</v>
      </c>
      <c r="G2314" s="11" t="s">
        <v>1335</v>
      </c>
      <c r="H2314" s="11" t="s">
        <v>1336</v>
      </c>
      <c r="I2314" s="17" t="s">
        <v>296</v>
      </c>
      <c r="J2314" s="17">
        <v>17.356032769999999</v>
      </c>
      <c r="K2314" s="17">
        <v>-96.530240879999994</v>
      </c>
      <c r="L2314" s="17" t="str">
        <f>HYPERLINK("https://maps.google.com/?q=17.35603277,-96.53024088", "🔗 Ver Mapa")</f>
        <v>🔗 Ver Mapa</v>
      </c>
    </row>
    <row r="2315" spans="1:12" ht="43.5" x14ac:dyDescent="0.35">
      <c r="A2315" s="5" t="s">
        <v>4</v>
      </c>
      <c r="B2315" s="5" t="s">
        <v>17</v>
      </c>
      <c r="C2315" s="5" t="s">
        <v>1334</v>
      </c>
      <c r="D2315" s="8" t="s">
        <v>64</v>
      </c>
      <c r="E2315" s="16" t="s">
        <v>78</v>
      </c>
      <c r="F2315" s="16" t="s">
        <v>399</v>
      </c>
      <c r="G2315" s="8" t="s">
        <v>1335</v>
      </c>
      <c r="H2315" s="8" t="s">
        <v>1336</v>
      </c>
      <c r="I2315" s="16" t="s">
        <v>296</v>
      </c>
      <c r="J2315" s="16">
        <v>17.356496320000002</v>
      </c>
      <c r="K2315" s="16">
        <v>-96.529745590000005</v>
      </c>
      <c r="L2315" s="16" t="str">
        <f>HYPERLINK("https://maps.google.com/?q=17.35649632,-96.52974559", "🔗 Ver Mapa")</f>
        <v>🔗 Ver Mapa</v>
      </c>
    </row>
    <row r="2316" spans="1:12" ht="43.5" x14ac:dyDescent="0.35">
      <c r="A2316" s="6" t="s">
        <v>4</v>
      </c>
      <c r="B2316" s="6" t="s">
        <v>17</v>
      </c>
      <c r="C2316" s="6" t="s">
        <v>1334</v>
      </c>
      <c r="D2316" s="11" t="s">
        <v>64</v>
      </c>
      <c r="E2316" s="17" t="s">
        <v>78</v>
      </c>
      <c r="F2316" s="17" t="s">
        <v>399</v>
      </c>
      <c r="G2316" s="11" t="s">
        <v>1335</v>
      </c>
      <c r="H2316" s="11" t="s">
        <v>1336</v>
      </c>
      <c r="I2316" s="17" t="s">
        <v>296</v>
      </c>
      <c r="J2316" s="17">
        <v>17.356671009999999</v>
      </c>
      <c r="K2316" s="17">
        <v>-96.529263569999998</v>
      </c>
      <c r="L2316" s="17" t="str">
        <f>HYPERLINK("https://maps.google.com/?q=17.35667101,-96.52926357", "🔗 Ver Mapa")</f>
        <v>🔗 Ver Mapa</v>
      </c>
    </row>
    <row r="2317" spans="1:12" ht="43.5" x14ac:dyDescent="0.35">
      <c r="A2317" s="5" t="s">
        <v>4</v>
      </c>
      <c r="B2317" s="5" t="s">
        <v>17</v>
      </c>
      <c r="C2317" s="5" t="s">
        <v>1334</v>
      </c>
      <c r="D2317" s="8" t="s">
        <v>64</v>
      </c>
      <c r="E2317" s="16" t="s">
        <v>78</v>
      </c>
      <c r="F2317" s="16" t="s">
        <v>399</v>
      </c>
      <c r="G2317" s="8" t="s">
        <v>1335</v>
      </c>
      <c r="H2317" s="8" t="s">
        <v>1336</v>
      </c>
      <c r="I2317" s="16" t="s">
        <v>296</v>
      </c>
      <c r="J2317" s="16">
        <v>17.35674268</v>
      </c>
      <c r="K2317" s="16">
        <v>-96.529215579999999</v>
      </c>
      <c r="L2317" s="16" t="str">
        <f>HYPERLINK("https://maps.google.com/?q=17.35674268,-96.52921558", "🔗 Ver Mapa")</f>
        <v>🔗 Ver Mapa</v>
      </c>
    </row>
    <row r="2318" spans="1:12" ht="43.5" x14ac:dyDescent="0.35">
      <c r="A2318" s="6" t="s">
        <v>4</v>
      </c>
      <c r="B2318" s="6" t="s">
        <v>17</v>
      </c>
      <c r="C2318" s="6" t="s">
        <v>1334</v>
      </c>
      <c r="D2318" s="11" t="s">
        <v>64</v>
      </c>
      <c r="E2318" s="17" t="s">
        <v>78</v>
      </c>
      <c r="F2318" s="17" t="s">
        <v>399</v>
      </c>
      <c r="G2318" s="11" t="s">
        <v>1335</v>
      </c>
      <c r="H2318" s="11" t="s">
        <v>1336</v>
      </c>
      <c r="I2318" s="17" t="s">
        <v>296</v>
      </c>
      <c r="J2318" s="17">
        <v>17.356832870000002</v>
      </c>
      <c r="K2318" s="17">
        <v>-96.529204969999995</v>
      </c>
      <c r="L2318" s="17" t="str">
        <f>HYPERLINK("https://maps.google.com/?q=17.35683287,-96.52920497", "🔗 Ver Mapa")</f>
        <v>🔗 Ver Mapa</v>
      </c>
    </row>
    <row r="2319" spans="1:12" ht="43.5" x14ac:dyDescent="0.35">
      <c r="A2319" s="5" t="s">
        <v>4</v>
      </c>
      <c r="B2319" s="5" t="s">
        <v>17</v>
      </c>
      <c r="C2319" s="5" t="s">
        <v>1334</v>
      </c>
      <c r="D2319" s="8" t="s">
        <v>64</v>
      </c>
      <c r="E2319" s="16" t="s">
        <v>78</v>
      </c>
      <c r="F2319" s="16" t="s">
        <v>399</v>
      </c>
      <c r="G2319" s="8" t="s">
        <v>1335</v>
      </c>
      <c r="H2319" s="8" t="s">
        <v>1336</v>
      </c>
      <c r="I2319" s="16" t="s">
        <v>296</v>
      </c>
      <c r="J2319" s="16">
        <v>17.357295069999999</v>
      </c>
      <c r="K2319" s="16">
        <v>-96.529330450000003</v>
      </c>
      <c r="L2319" s="16" t="str">
        <f>HYPERLINK("https://maps.google.com/?q=17.35729507,-96.52933045", "🔗 Ver Mapa")</f>
        <v>🔗 Ver Mapa</v>
      </c>
    </row>
    <row r="2320" spans="1:12" ht="43.5" x14ac:dyDescent="0.35">
      <c r="A2320" s="6" t="s">
        <v>4</v>
      </c>
      <c r="B2320" s="6" t="s">
        <v>17</v>
      </c>
      <c r="C2320" s="6" t="s">
        <v>1334</v>
      </c>
      <c r="D2320" s="11" t="s">
        <v>64</v>
      </c>
      <c r="E2320" s="17" t="s">
        <v>78</v>
      </c>
      <c r="F2320" s="17" t="s">
        <v>399</v>
      </c>
      <c r="G2320" s="11" t="s">
        <v>1335</v>
      </c>
      <c r="H2320" s="11" t="s">
        <v>1336</v>
      </c>
      <c r="I2320" s="17" t="s">
        <v>296</v>
      </c>
      <c r="J2320" s="17">
        <v>17.357529280000001</v>
      </c>
      <c r="K2320" s="17">
        <v>-96.529280279999995</v>
      </c>
      <c r="L2320" s="17" t="str">
        <f>HYPERLINK("https://maps.google.com/?q=17.35752928,-96.52928028", "🔗 Ver Mapa")</f>
        <v>🔗 Ver Mapa</v>
      </c>
    </row>
    <row r="2321" spans="1:12" ht="43.5" x14ac:dyDescent="0.35">
      <c r="A2321" s="5" t="s">
        <v>4</v>
      </c>
      <c r="B2321" s="5" t="s">
        <v>17</v>
      </c>
      <c r="C2321" s="5" t="s">
        <v>1334</v>
      </c>
      <c r="D2321" s="8" t="s">
        <v>64</v>
      </c>
      <c r="E2321" s="16" t="s">
        <v>78</v>
      </c>
      <c r="F2321" s="16" t="s">
        <v>399</v>
      </c>
      <c r="G2321" s="8" t="s">
        <v>1335</v>
      </c>
      <c r="H2321" s="8" t="s">
        <v>1336</v>
      </c>
      <c r="I2321" s="16" t="s">
        <v>296</v>
      </c>
      <c r="J2321" s="16">
        <v>17.35794203</v>
      </c>
      <c r="K2321" s="16">
        <v>-96.529058419999998</v>
      </c>
      <c r="L2321" s="16" t="str">
        <f>HYPERLINK("https://maps.google.com/?q=17.35794203,-96.52905842", "🔗 Ver Mapa")</f>
        <v>🔗 Ver Mapa</v>
      </c>
    </row>
    <row r="2322" spans="1:12" ht="43.5" x14ac:dyDescent="0.35">
      <c r="A2322" s="6" t="s">
        <v>4</v>
      </c>
      <c r="B2322" s="6" t="s">
        <v>17</v>
      </c>
      <c r="C2322" s="6" t="s">
        <v>1334</v>
      </c>
      <c r="D2322" s="11" t="s">
        <v>64</v>
      </c>
      <c r="E2322" s="17" t="s">
        <v>78</v>
      </c>
      <c r="F2322" s="17" t="s">
        <v>399</v>
      </c>
      <c r="G2322" s="11" t="s">
        <v>1335</v>
      </c>
      <c r="H2322" s="11" t="s">
        <v>1336</v>
      </c>
      <c r="I2322" s="17" t="s">
        <v>296</v>
      </c>
      <c r="J2322" s="17">
        <v>17.358248960000001</v>
      </c>
      <c r="K2322" s="17">
        <v>-96.529044900000002</v>
      </c>
      <c r="L2322" s="17" t="str">
        <f>HYPERLINK("https://maps.google.com/?q=17.35824896,-96.5290449", "🔗 Ver Mapa")</f>
        <v>🔗 Ver Mapa</v>
      </c>
    </row>
    <row r="2323" spans="1:12" ht="43.5" x14ac:dyDescent="0.35">
      <c r="A2323" s="5" t="s">
        <v>4</v>
      </c>
      <c r="B2323" s="5" t="s">
        <v>17</v>
      </c>
      <c r="C2323" s="5" t="s">
        <v>1334</v>
      </c>
      <c r="D2323" s="8" t="s">
        <v>64</v>
      </c>
      <c r="E2323" s="16" t="s">
        <v>78</v>
      </c>
      <c r="F2323" s="16" t="s">
        <v>399</v>
      </c>
      <c r="G2323" s="8" t="s">
        <v>1335</v>
      </c>
      <c r="H2323" s="8" t="s">
        <v>1336</v>
      </c>
      <c r="I2323" s="16" t="s">
        <v>296</v>
      </c>
      <c r="J2323" s="16">
        <v>17.358599300000002</v>
      </c>
      <c r="K2323" s="16">
        <v>-96.528889719999995</v>
      </c>
      <c r="L2323" s="16" t="str">
        <f>HYPERLINK("https://maps.google.com/?q=17.3585993,-96.52888972", "🔗 Ver Mapa")</f>
        <v>🔗 Ver Mapa</v>
      </c>
    </row>
    <row r="2324" spans="1:12" ht="43.5" x14ac:dyDescent="0.35">
      <c r="A2324" s="6" t="s">
        <v>4</v>
      </c>
      <c r="B2324" s="6" t="s">
        <v>17</v>
      </c>
      <c r="C2324" s="6" t="s">
        <v>1334</v>
      </c>
      <c r="D2324" s="11" t="s">
        <v>64</v>
      </c>
      <c r="E2324" s="17" t="s">
        <v>78</v>
      </c>
      <c r="F2324" s="17" t="s">
        <v>399</v>
      </c>
      <c r="G2324" s="11" t="s">
        <v>1335</v>
      </c>
      <c r="H2324" s="11" t="s">
        <v>1336</v>
      </c>
      <c r="I2324" s="17" t="s">
        <v>296</v>
      </c>
      <c r="J2324" s="17">
        <v>17.35944598</v>
      </c>
      <c r="K2324" s="17">
        <v>-96.528699660000001</v>
      </c>
      <c r="L2324" s="17" t="str">
        <f>HYPERLINK("https://maps.google.com/?q=17.35944598,-96.52869966", "🔗 Ver Mapa")</f>
        <v>🔗 Ver Mapa</v>
      </c>
    </row>
    <row r="2325" spans="1:12" ht="43.5" x14ac:dyDescent="0.35">
      <c r="A2325" s="5" t="s">
        <v>4</v>
      </c>
      <c r="B2325" s="5" t="s">
        <v>17</v>
      </c>
      <c r="C2325" s="5" t="s">
        <v>1334</v>
      </c>
      <c r="D2325" s="8" t="s">
        <v>64</v>
      </c>
      <c r="E2325" s="16" t="s">
        <v>78</v>
      </c>
      <c r="F2325" s="16" t="s">
        <v>399</v>
      </c>
      <c r="G2325" s="8" t="s">
        <v>1335</v>
      </c>
      <c r="H2325" s="8" t="s">
        <v>1336</v>
      </c>
      <c r="I2325" s="16" t="s">
        <v>296</v>
      </c>
      <c r="J2325" s="16">
        <v>17.359670120000001</v>
      </c>
      <c r="K2325" s="16">
        <v>-96.528564970000005</v>
      </c>
      <c r="L2325" s="16" t="str">
        <f>HYPERLINK("https://maps.google.com/?q=17.35967012,-96.52856497", "🔗 Ver Mapa")</f>
        <v>🔗 Ver Mapa</v>
      </c>
    </row>
    <row r="2326" spans="1:12" ht="43.5" x14ac:dyDescent="0.35">
      <c r="A2326" s="6" t="s">
        <v>4</v>
      </c>
      <c r="B2326" s="6" t="s">
        <v>17</v>
      </c>
      <c r="C2326" s="6" t="s">
        <v>1334</v>
      </c>
      <c r="D2326" s="11" t="s">
        <v>64</v>
      </c>
      <c r="E2326" s="17" t="s">
        <v>78</v>
      </c>
      <c r="F2326" s="17" t="s">
        <v>399</v>
      </c>
      <c r="G2326" s="11" t="s">
        <v>1335</v>
      </c>
      <c r="H2326" s="11" t="s">
        <v>1336</v>
      </c>
      <c r="I2326" s="17" t="s">
        <v>296</v>
      </c>
      <c r="J2326" s="17">
        <v>17.35992852</v>
      </c>
      <c r="K2326" s="17">
        <v>-96.528279339999997</v>
      </c>
      <c r="L2326" s="17" t="str">
        <f>HYPERLINK("https://maps.google.com/?q=17.35992852,-96.52827934", "🔗 Ver Mapa")</f>
        <v>🔗 Ver Mapa</v>
      </c>
    </row>
    <row r="2327" spans="1:12" ht="43.5" x14ac:dyDescent="0.35">
      <c r="A2327" s="5" t="s">
        <v>4</v>
      </c>
      <c r="B2327" s="5" t="s">
        <v>17</v>
      </c>
      <c r="C2327" s="5" t="s">
        <v>1334</v>
      </c>
      <c r="D2327" s="8" t="s">
        <v>64</v>
      </c>
      <c r="E2327" s="16" t="s">
        <v>78</v>
      </c>
      <c r="F2327" s="16" t="s">
        <v>399</v>
      </c>
      <c r="G2327" s="8" t="s">
        <v>1335</v>
      </c>
      <c r="H2327" s="8" t="s">
        <v>1336</v>
      </c>
      <c r="I2327" s="16" t="s">
        <v>296</v>
      </c>
      <c r="J2327" s="16">
        <v>17.3664606</v>
      </c>
      <c r="K2327" s="16">
        <v>-96.509511669999995</v>
      </c>
      <c r="L2327" s="16" t="str">
        <f>HYPERLINK("https://maps.google.com/?q=17.3664606,-96.50951167", "🔗 Ver Mapa")</f>
        <v>🔗 Ver Mapa</v>
      </c>
    </row>
    <row r="2328" spans="1:12" ht="43.5" x14ac:dyDescent="0.35">
      <c r="A2328" s="6" t="s">
        <v>4</v>
      </c>
      <c r="B2328" s="6" t="s">
        <v>17</v>
      </c>
      <c r="C2328" s="6" t="s">
        <v>1334</v>
      </c>
      <c r="D2328" s="11" t="s">
        <v>64</v>
      </c>
      <c r="E2328" s="17" t="s">
        <v>78</v>
      </c>
      <c r="F2328" s="17" t="s">
        <v>399</v>
      </c>
      <c r="G2328" s="11" t="s">
        <v>1335</v>
      </c>
      <c r="H2328" s="11" t="s">
        <v>1336</v>
      </c>
      <c r="I2328" s="17" t="s">
        <v>296</v>
      </c>
      <c r="J2328" s="17">
        <v>17.36692785</v>
      </c>
      <c r="K2328" s="17">
        <v>-96.509317229999994</v>
      </c>
      <c r="L2328" s="17" t="str">
        <f>HYPERLINK("https://maps.google.com/?q=17.36692785,-96.50931723", "🔗 Ver Mapa")</f>
        <v>🔗 Ver Mapa</v>
      </c>
    </row>
    <row r="2329" spans="1:12" ht="43.5" x14ac:dyDescent="0.35">
      <c r="A2329" s="5" t="s">
        <v>4</v>
      </c>
      <c r="B2329" s="5" t="s">
        <v>17</v>
      </c>
      <c r="C2329" s="5" t="s">
        <v>1334</v>
      </c>
      <c r="D2329" s="8" t="s">
        <v>64</v>
      </c>
      <c r="E2329" s="16" t="s">
        <v>78</v>
      </c>
      <c r="F2329" s="16" t="s">
        <v>399</v>
      </c>
      <c r="G2329" s="8" t="s">
        <v>1335</v>
      </c>
      <c r="H2329" s="8" t="s">
        <v>1336</v>
      </c>
      <c r="I2329" s="16" t="s">
        <v>296</v>
      </c>
      <c r="J2329" s="16">
        <v>17.36732825</v>
      </c>
      <c r="K2329" s="16">
        <v>-96.508832119999994</v>
      </c>
      <c r="L2329" s="16" t="str">
        <f>HYPERLINK("https://maps.google.com/?q=17.36732825,-96.50883212", "🔗 Ver Mapa")</f>
        <v>🔗 Ver Mapa</v>
      </c>
    </row>
    <row r="2330" spans="1:12" ht="43.5" x14ac:dyDescent="0.35">
      <c r="A2330" s="6" t="s">
        <v>4</v>
      </c>
      <c r="B2330" s="6" t="s">
        <v>17</v>
      </c>
      <c r="C2330" s="6" t="s">
        <v>1334</v>
      </c>
      <c r="D2330" s="11" t="s">
        <v>64</v>
      </c>
      <c r="E2330" s="17" t="s">
        <v>78</v>
      </c>
      <c r="F2330" s="17" t="s">
        <v>399</v>
      </c>
      <c r="G2330" s="11" t="s">
        <v>1335</v>
      </c>
      <c r="H2330" s="11" t="s">
        <v>1336</v>
      </c>
      <c r="I2330" s="17" t="s">
        <v>296</v>
      </c>
      <c r="J2330" s="17">
        <v>17.36770319</v>
      </c>
      <c r="K2330" s="17">
        <v>-96.508479030000004</v>
      </c>
      <c r="L2330" s="17" t="str">
        <f>HYPERLINK("https://maps.google.com/?q=17.36770319,-96.50847903", "🔗 Ver Mapa")</f>
        <v>🔗 Ver Mapa</v>
      </c>
    </row>
    <row r="2331" spans="1:12" ht="43.5" x14ac:dyDescent="0.35">
      <c r="A2331" s="5" t="s">
        <v>4</v>
      </c>
      <c r="B2331" s="5" t="s">
        <v>17</v>
      </c>
      <c r="C2331" s="5" t="s">
        <v>1334</v>
      </c>
      <c r="D2331" s="8" t="s">
        <v>64</v>
      </c>
      <c r="E2331" s="16" t="s">
        <v>78</v>
      </c>
      <c r="F2331" s="16" t="s">
        <v>399</v>
      </c>
      <c r="G2331" s="8" t="s">
        <v>1335</v>
      </c>
      <c r="H2331" s="8" t="s">
        <v>1336</v>
      </c>
      <c r="I2331" s="16" t="s">
        <v>296</v>
      </c>
      <c r="J2331" s="16">
        <v>17.368305200000002</v>
      </c>
      <c r="K2331" s="16">
        <v>-96.508226339999993</v>
      </c>
      <c r="L2331" s="16" t="str">
        <f>HYPERLINK("https://maps.google.com/?q=17.3683052,-96.50822634", "🔗 Ver Mapa")</f>
        <v>🔗 Ver Mapa</v>
      </c>
    </row>
    <row r="2332" spans="1:12" ht="43.5" x14ac:dyDescent="0.35">
      <c r="A2332" s="6" t="s">
        <v>4</v>
      </c>
      <c r="B2332" s="6" t="s">
        <v>17</v>
      </c>
      <c r="C2332" s="6" t="s">
        <v>1334</v>
      </c>
      <c r="D2332" s="11" t="s">
        <v>64</v>
      </c>
      <c r="E2332" s="17" t="s">
        <v>78</v>
      </c>
      <c r="F2332" s="17" t="s">
        <v>399</v>
      </c>
      <c r="G2332" s="11" t="s">
        <v>1335</v>
      </c>
      <c r="H2332" s="11" t="s">
        <v>1336</v>
      </c>
      <c r="I2332" s="17" t="s">
        <v>296</v>
      </c>
      <c r="J2332" s="17">
        <v>17.36873632</v>
      </c>
      <c r="K2332" s="17">
        <v>-96.508032389999997</v>
      </c>
      <c r="L2332" s="17" t="str">
        <f>HYPERLINK("https://maps.google.com/?q=17.36873632,-96.50803239", "🔗 Ver Mapa")</f>
        <v>🔗 Ver Mapa</v>
      </c>
    </row>
    <row r="2333" spans="1:12" ht="43.5" x14ac:dyDescent="0.35">
      <c r="A2333" s="5" t="s">
        <v>4</v>
      </c>
      <c r="B2333" s="5" t="s">
        <v>17</v>
      </c>
      <c r="C2333" s="5" t="s">
        <v>1334</v>
      </c>
      <c r="D2333" s="8" t="s">
        <v>64</v>
      </c>
      <c r="E2333" s="16" t="s">
        <v>78</v>
      </c>
      <c r="F2333" s="16" t="s">
        <v>399</v>
      </c>
      <c r="G2333" s="8" t="s">
        <v>1335</v>
      </c>
      <c r="H2333" s="8" t="s">
        <v>1336</v>
      </c>
      <c r="I2333" s="16" t="s">
        <v>296</v>
      </c>
      <c r="J2333" s="16">
        <v>17.369178819999998</v>
      </c>
      <c r="K2333" s="16">
        <v>-96.508026400000006</v>
      </c>
      <c r="L2333" s="16" t="str">
        <f>HYPERLINK("https://maps.google.com/?q=17.36917882,-96.5080264", "🔗 Ver Mapa")</f>
        <v>🔗 Ver Mapa</v>
      </c>
    </row>
    <row r="2334" spans="1:12" ht="43.5" x14ac:dyDescent="0.35">
      <c r="A2334" s="6" t="s">
        <v>4</v>
      </c>
      <c r="B2334" s="6" t="s">
        <v>17</v>
      </c>
      <c r="C2334" s="6" t="s">
        <v>1334</v>
      </c>
      <c r="D2334" s="11" t="s">
        <v>64</v>
      </c>
      <c r="E2334" s="17" t="s">
        <v>78</v>
      </c>
      <c r="F2334" s="17" t="s">
        <v>399</v>
      </c>
      <c r="G2334" s="11" t="s">
        <v>1335</v>
      </c>
      <c r="H2334" s="11" t="s">
        <v>1336</v>
      </c>
      <c r="I2334" s="17" t="s">
        <v>296</v>
      </c>
      <c r="J2334" s="17">
        <v>17.369911470000002</v>
      </c>
      <c r="K2334" s="17">
        <v>-96.508110549999998</v>
      </c>
      <c r="L2334" s="17" t="str">
        <f>HYPERLINK("https://maps.google.com/?q=17.36991147,-96.50811055", "🔗 Ver Mapa")</f>
        <v>🔗 Ver Mapa</v>
      </c>
    </row>
    <row r="2335" spans="1:12" ht="43.5" x14ac:dyDescent="0.35">
      <c r="A2335" s="5" t="s">
        <v>4</v>
      </c>
      <c r="B2335" s="5" t="s">
        <v>17</v>
      </c>
      <c r="C2335" s="5" t="s">
        <v>1334</v>
      </c>
      <c r="D2335" s="8" t="s">
        <v>64</v>
      </c>
      <c r="E2335" s="16" t="s">
        <v>78</v>
      </c>
      <c r="F2335" s="16" t="s">
        <v>399</v>
      </c>
      <c r="G2335" s="8" t="s">
        <v>1335</v>
      </c>
      <c r="H2335" s="8" t="s">
        <v>1336</v>
      </c>
      <c r="I2335" s="16" t="s">
        <v>296</v>
      </c>
      <c r="J2335" s="16">
        <v>17.370387869999998</v>
      </c>
      <c r="K2335" s="16">
        <v>-96.507925389999997</v>
      </c>
      <c r="L2335" s="16" t="str">
        <f>HYPERLINK("https://maps.google.com/?q=17.37038787,-96.50792539", "🔗 Ver Mapa")</f>
        <v>🔗 Ver Mapa</v>
      </c>
    </row>
    <row r="2336" spans="1:12" ht="43.5" x14ac:dyDescent="0.35">
      <c r="A2336" s="6" t="s">
        <v>4</v>
      </c>
      <c r="B2336" s="6" t="s">
        <v>17</v>
      </c>
      <c r="C2336" s="6" t="s">
        <v>1334</v>
      </c>
      <c r="D2336" s="11" t="s">
        <v>64</v>
      </c>
      <c r="E2336" s="17" t="s">
        <v>78</v>
      </c>
      <c r="F2336" s="17" t="s">
        <v>399</v>
      </c>
      <c r="G2336" s="11" t="s">
        <v>1335</v>
      </c>
      <c r="H2336" s="11" t="s">
        <v>1336</v>
      </c>
      <c r="I2336" s="17" t="s">
        <v>296</v>
      </c>
      <c r="J2336" s="17">
        <v>17.37099362</v>
      </c>
      <c r="K2336" s="17">
        <v>-96.507973629999995</v>
      </c>
      <c r="L2336" s="17" t="str">
        <f>HYPERLINK("https://maps.google.com/?q=17.37099362,-96.50797363", "🔗 Ver Mapa")</f>
        <v>🔗 Ver Mapa</v>
      </c>
    </row>
    <row r="2337" spans="1:12" ht="43.5" x14ac:dyDescent="0.35">
      <c r="A2337" s="5" t="s">
        <v>4</v>
      </c>
      <c r="B2337" s="5" t="s">
        <v>17</v>
      </c>
      <c r="C2337" s="5" t="s">
        <v>1334</v>
      </c>
      <c r="D2337" s="8" t="s">
        <v>64</v>
      </c>
      <c r="E2337" s="16" t="s">
        <v>78</v>
      </c>
      <c r="F2337" s="16" t="s">
        <v>399</v>
      </c>
      <c r="G2337" s="8" t="s">
        <v>1335</v>
      </c>
      <c r="H2337" s="8" t="s">
        <v>1336</v>
      </c>
      <c r="I2337" s="16" t="s">
        <v>296</v>
      </c>
      <c r="J2337" s="16">
        <v>17.371310990000001</v>
      </c>
      <c r="K2337" s="16">
        <v>-96.508072799999994</v>
      </c>
      <c r="L2337" s="16" t="str">
        <f>HYPERLINK("https://maps.google.com/?q=17.37131099,-96.5080728", "🔗 Ver Mapa")</f>
        <v>🔗 Ver Mapa</v>
      </c>
    </row>
    <row r="2338" spans="1:12" ht="43.5" x14ac:dyDescent="0.35">
      <c r="A2338" s="6" t="s">
        <v>4</v>
      </c>
      <c r="B2338" s="6" t="s">
        <v>17</v>
      </c>
      <c r="C2338" s="6" t="s">
        <v>1334</v>
      </c>
      <c r="D2338" s="11" t="s">
        <v>64</v>
      </c>
      <c r="E2338" s="17" t="s">
        <v>78</v>
      </c>
      <c r="F2338" s="17" t="s">
        <v>399</v>
      </c>
      <c r="G2338" s="11" t="s">
        <v>1335</v>
      </c>
      <c r="H2338" s="11" t="s">
        <v>1336</v>
      </c>
      <c r="I2338" s="17" t="s">
        <v>296</v>
      </c>
      <c r="J2338" s="17">
        <v>17.371719479999999</v>
      </c>
      <c r="K2338" s="17">
        <v>-96.508236580000002</v>
      </c>
      <c r="L2338" s="17" t="str">
        <f>HYPERLINK("https://maps.google.com/?q=17.37171948,-96.50823658", "🔗 Ver Mapa")</f>
        <v>🔗 Ver Mapa</v>
      </c>
    </row>
    <row r="2339" spans="1:12" ht="43.5" x14ac:dyDescent="0.35">
      <c r="A2339" s="5" t="s">
        <v>4</v>
      </c>
      <c r="B2339" s="5" t="s">
        <v>17</v>
      </c>
      <c r="C2339" s="5" t="s">
        <v>1334</v>
      </c>
      <c r="D2339" s="8" t="s">
        <v>64</v>
      </c>
      <c r="E2339" s="16" t="s">
        <v>78</v>
      </c>
      <c r="F2339" s="16" t="s">
        <v>399</v>
      </c>
      <c r="G2339" s="8" t="s">
        <v>1335</v>
      </c>
      <c r="H2339" s="8" t="s">
        <v>1336</v>
      </c>
      <c r="I2339" s="16" t="s">
        <v>296</v>
      </c>
      <c r="J2339" s="16">
        <v>17.372143210000001</v>
      </c>
      <c r="K2339" s="16">
        <v>-96.508174409999995</v>
      </c>
      <c r="L2339" s="16" t="str">
        <f>HYPERLINK("https://maps.google.com/?q=17.37214321,-96.50817441", "🔗 Ver Mapa")</f>
        <v>🔗 Ver Mapa</v>
      </c>
    </row>
    <row r="2340" spans="1:12" ht="43.5" x14ac:dyDescent="0.35">
      <c r="A2340" s="6" t="s">
        <v>4</v>
      </c>
      <c r="B2340" s="6" t="s">
        <v>17</v>
      </c>
      <c r="C2340" s="6" t="s">
        <v>1334</v>
      </c>
      <c r="D2340" s="11" t="s">
        <v>64</v>
      </c>
      <c r="E2340" s="17" t="s">
        <v>78</v>
      </c>
      <c r="F2340" s="17" t="s">
        <v>399</v>
      </c>
      <c r="G2340" s="11" t="s">
        <v>1335</v>
      </c>
      <c r="H2340" s="11" t="s">
        <v>1336</v>
      </c>
      <c r="I2340" s="17" t="s">
        <v>296</v>
      </c>
      <c r="J2340" s="17">
        <v>17.372829889999998</v>
      </c>
      <c r="K2340" s="17">
        <v>-96.508193340000005</v>
      </c>
      <c r="L2340" s="17" t="str">
        <f>HYPERLINK("https://maps.google.com/?q=17.37282989,-96.50819334", "🔗 Ver Mapa")</f>
        <v>🔗 Ver Mapa</v>
      </c>
    </row>
    <row r="2341" spans="1:12" ht="43.5" x14ac:dyDescent="0.35">
      <c r="A2341" s="5" t="s">
        <v>4</v>
      </c>
      <c r="B2341" s="5" t="s">
        <v>17</v>
      </c>
      <c r="C2341" s="5" t="s">
        <v>1334</v>
      </c>
      <c r="D2341" s="8" t="s">
        <v>64</v>
      </c>
      <c r="E2341" s="16" t="s">
        <v>78</v>
      </c>
      <c r="F2341" s="16" t="s">
        <v>399</v>
      </c>
      <c r="G2341" s="8" t="s">
        <v>1335</v>
      </c>
      <c r="H2341" s="8" t="s">
        <v>1336</v>
      </c>
      <c r="I2341" s="16" t="s">
        <v>296</v>
      </c>
      <c r="J2341" s="16">
        <v>17.373062569999998</v>
      </c>
      <c r="K2341" s="16">
        <v>-96.508020880000004</v>
      </c>
      <c r="L2341" s="16" t="str">
        <f>HYPERLINK("https://maps.google.com/?q=17.37306257,-96.50802088", "🔗 Ver Mapa")</f>
        <v>🔗 Ver Mapa</v>
      </c>
    </row>
    <row r="2342" spans="1:12" ht="43.5" x14ac:dyDescent="0.35">
      <c r="A2342" s="6" t="s">
        <v>4</v>
      </c>
      <c r="B2342" s="6" t="s">
        <v>17</v>
      </c>
      <c r="C2342" s="6" t="s">
        <v>1334</v>
      </c>
      <c r="D2342" s="11" t="s">
        <v>64</v>
      </c>
      <c r="E2342" s="17" t="s">
        <v>78</v>
      </c>
      <c r="F2342" s="17" t="s">
        <v>399</v>
      </c>
      <c r="G2342" s="11" t="s">
        <v>1335</v>
      </c>
      <c r="H2342" s="11" t="s">
        <v>1336</v>
      </c>
      <c r="I2342" s="17" t="s">
        <v>296</v>
      </c>
      <c r="J2342" s="17">
        <v>17.373363510000001</v>
      </c>
      <c r="K2342" s="17">
        <v>-96.507527679999995</v>
      </c>
      <c r="L2342" s="17" t="str">
        <f>HYPERLINK("https://maps.google.com/?q=17.37336351,-96.50752768", "🔗 Ver Mapa")</f>
        <v>🔗 Ver Mapa</v>
      </c>
    </row>
    <row r="2343" spans="1:12" ht="43.5" x14ac:dyDescent="0.35">
      <c r="A2343" s="5" t="s">
        <v>4</v>
      </c>
      <c r="B2343" s="5" t="s">
        <v>17</v>
      </c>
      <c r="C2343" s="5" t="s">
        <v>1334</v>
      </c>
      <c r="D2343" s="8" t="s">
        <v>64</v>
      </c>
      <c r="E2343" s="16" t="s">
        <v>78</v>
      </c>
      <c r="F2343" s="16" t="s">
        <v>399</v>
      </c>
      <c r="G2343" s="8" t="s">
        <v>1335</v>
      </c>
      <c r="H2343" s="8" t="s">
        <v>1336</v>
      </c>
      <c r="I2343" s="16" t="s">
        <v>296</v>
      </c>
      <c r="J2343" s="16">
        <v>17.373620119999998</v>
      </c>
      <c r="K2343" s="16">
        <v>-96.507100929999993</v>
      </c>
      <c r="L2343" s="16" t="str">
        <f>HYPERLINK("https://maps.google.com/?q=17.37362012,-96.50710093", "🔗 Ver Mapa")</f>
        <v>🔗 Ver Mapa</v>
      </c>
    </row>
    <row r="2344" spans="1:12" ht="43.5" x14ac:dyDescent="0.35">
      <c r="A2344" s="6" t="s">
        <v>4</v>
      </c>
      <c r="B2344" s="6" t="s">
        <v>17</v>
      </c>
      <c r="C2344" s="6" t="s">
        <v>1334</v>
      </c>
      <c r="D2344" s="11" t="s">
        <v>64</v>
      </c>
      <c r="E2344" s="17" t="s">
        <v>78</v>
      </c>
      <c r="F2344" s="17" t="s">
        <v>399</v>
      </c>
      <c r="G2344" s="11" t="s">
        <v>1335</v>
      </c>
      <c r="H2344" s="11" t="s">
        <v>1336</v>
      </c>
      <c r="I2344" s="17" t="s">
        <v>296</v>
      </c>
      <c r="J2344" s="17">
        <v>17.373855150000001</v>
      </c>
      <c r="K2344" s="17">
        <v>-96.50711656</v>
      </c>
      <c r="L2344" s="17" t="str">
        <f>HYPERLINK("https://maps.google.com/?q=17.37385515,-96.50711656", "🔗 Ver Mapa")</f>
        <v>🔗 Ver Mapa</v>
      </c>
    </row>
    <row r="2345" spans="1:12" ht="43.5" x14ac:dyDescent="0.35">
      <c r="A2345" s="5" t="s">
        <v>4</v>
      </c>
      <c r="B2345" s="5" t="s">
        <v>17</v>
      </c>
      <c r="C2345" s="5" t="s">
        <v>1334</v>
      </c>
      <c r="D2345" s="8" t="s">
        <v>64</v>
      </c>
      <c r="E2345" s="16" t="s">
        <v>78</v>
      </c>
      <c r="F2345" s="16" t="s">
        <v>399</v>
      </c>
      <c r="G2345" s="8" t="s">
        <v>1335</v>
      </c>
      <c r="H2345" s="8" t="s">
        <v>1336</v>
      </c>
      <c r="I2345" s="16" t="s">
        <v>296</v>
      </c>
      <c r="J2345" s="16">
        <v>17.37427619</v>
      </c>
      <c r="K2345" s="16">
        <v>-96.507562359999994</v>
      </c>
      <c r="L2345" s="16" t="str">
        <f>HYPERLINK("https://maps.google.com/?q=17.37427619,-96.50756236", "🔗 Ver Mapa")</f>
        <v>🔗 Ver Mapa</v>
      </c>
    </row>
    <row r="2346" spans="1:12" ht="43.5" x14ac:dyDescent="0.35">
      <c r="A2346" s="6" t="s">
        <v>4</v>
      </c>
      <c r="B2346" s="6" t="s">
        <v>17</v>
      </c>
      <c r="C2346" s="6" t="s">
        <v>1334</v>
      </c>
      <c r="D2346" s="11" t="s">
        <v>64</v>
      </c>
      <c r="E2346" s="17" t="s">
        <v>78</v>
      </c>
      <c r="F2346" s="17" t="s">
        <v>399</v>
      </c>
      <c r="G2346" s="11" t="s">
        <v>1335</v>
      </c>
      <c r="H2346" s="11" t="s">
        <v>1336</v>
      </c>
      <c r="I2346" s="17" t="s">
        <v>296</v>
      </c>
      <c r="J2346" s="17">
        <v>17.374675530000001</v>
      </c>
      <c r="K2346" s="17">
        <v>-96.507716860000002</v>
      </c>
      <c r="L2346" s="17" t="str">
        <f>HYPERLINK("https://maps.google.com/?q=17.37467553,-96.50771686", "🔗 Ver Mapa")</f>
        <v>🔗 Ver Mapa</v>
      </c>
    </row>
    <row r="2347" spans="1:12" ht="43.5" x14ac:dyDescent="0.35">
      <c r="A2347" s="5" t="s">
        <v>4</v>
      </c>
      <c r="B2347" s="5" t="s">
        <v>17</v>
      </c>
      <c r="C2347" s="5" t="s">
        <v>1334</v>
      </c>
      <c r="D2347" s="8" t="s">
        <v>64</v>
      </c>
      <c r="E2347" s="16" t="s">
        <v>78</v>
      </c>
      <c r="F2347" s="16" t="s">
        <v>399</v>
      </c>
      <c r="G2347" s="8" t="s">
        <v>1335</v>
      </c>
      <c r="H2347" s="8" t="s">
        <v>1336</v>
      </c>
      <c r="I2347" s="16" t="s">
        <v>296</v>
      </c>
      <c r="J2347" s="16">
        <v>17.375480079999999</v>
      </c>
      <c r="K2347" s="16">
        <v>-96.507771809999994</v>
      </c>
      <c r="L2347" s="16" t="str">
        <f>HYPERLINK("https://maps.google.com/?q=17.37548008,-96.50777181", "🔗 Ver Mapa")</f>
        <v>🔗 Ver Mapa</v>
      </c>
    </row>
    <row r="2348" spans="1:12" ht="43.5" x14ac:dyDescent="0.35">
      <c r="A2348" s="6" t="s">
        <v>4</v>
      </c>
      <c r="B2348" s="6" t="s">
        <v>17</v>
      </c>
      <c r="C2348" s="6" t="s">
        <v>1334</v>
      </c>
      <c r="D2348" s="11" t="s">
        <v>64</v>
      </c>
      <c r="E2348" s="17" t="s">
        <v>78</v>
      </c>
      <c r="F2348" s="17" t="s">
        <v>399</v>
      </c>
      <c r="G2348" s="11" t="s">
        <v>1335</v>
      </c>
      <c r="H2348" s="11" t="s">
        <v>1336</v>
      </c>
      <c r="I2348" s="17" t="s">
        <v>296</v>
      </c>
      <c r="J2348" s="17">
        <v>17.376146819999999</v>
      </c>
      <c r="K2348" s="17">
        <v>-96.507640510000002</v>
      </c>
      <c r="L2348" s="17" t="str">
        <f>HYPERLINK("https://maps.google.com/?q=17.37614682,-96.50764051", "🔗 Ver Mapa")</f>
        <v>🔗 Ver Mapa</v>
      </c>
    </row>
    <row r="2349" spans="1:12" ht="43.5" x14ac:dyDescent="0.35">
      <c r="A2349" s="5" t="s">
        <v>4</v>
      </c>
      <c r="B2349" s="5" t="s">
        <v>17</v>
      </c>
      <c r="C2349" s="5" t="s">
        <v>1334</v>
      </c>
      <c r="D2349" s="8" t="s">
        <v>64</v>
      </c>
      <c r="E2349" s="16" t="s">
        <v>78</v>
      </c>
      <c r="F2349" s="16" t="s">
        <v>399</v>
      </c>
      <c r="G2349" s="8" t="s">
        <v>1335</v>
      </c>
      <c r="H2349" s="8" t="s">
        <v>1336</v>
      </c>
      <c r="I2349" s="16" t="s">
        <v>296</v>
      </c>
      <c r="J2349" s="16">
        <v>17.376352529999998</v>
      </c>
      <c r="K2349" s="16">
        <v>-96.507477809999997</v>
      </c>
      <c r="L2349" s="16" t="str">
        <f>HYPERLINK("https://maps.google.com/?q=17.37635253,-96.50747781", "🔗 Ver Mapa")</f>
        <v>🔗 Ver Mapa</v>
      </c>
    </row>
    <row r="2350" spans="1:12" ht="43.5" x14ac:dyDescent="0.35">
      <c r="A2350" s="6" t="s">
        <v>4</v>
      </c>
      <c r="B2350" s="6" t="s">
        <v>17</v>
      </c>
      <c r="C2350" s="6" t="s">
        <v>1334</v>
      </c>
      <c r="D2350" s="11" t="s">
        <v>64</v>
      </c>
      <c r="E2350" s="17" t="s">
        <v>78</v>
      </c>
      <c r="F2350" s="17" t="s">
        <v>399</v>
      </c>
      <c r="G2350" s="11" t="s">
        <v>1335</v>
      </c>
      <c r="H2350" s="11" t="s">
        <v>1336</v>
      </c>
      <c r="I2350" s="17" t="s">
        <v>296</v>
      </c>
      <c r="J2350" s="17">
        <v>17.376938110000001</v>
      </c>
      <c r="K2350" s="17">
        <v>-96.507357010000007</v>
      </c>
      <c r="L2350" s="17" t="str">
        <f>HYPERLINK("https://maps.google.com/?q=17.37693811,-96.50735701", "🔗 Ver Mapa")</f>
        <v>🔗 Ver Mapa</v>
      </c>
    </row>
    <row r="2351" spans="1:12" ht="43.5" x14ac:dyDescent="0.35">
      <c r="A2351" s="5" t="s">
        <v>4</v>
      </c>
      <c r="B2351" s="5" t="s">
        <v>17</v>
      </c>
      <c r="C2351" s="5" t="s">
        <v>1334</v>
      </c>
      <c r="D2351" s="8" t="s">
        <v>64</v>
      </c>
      <c r="E2351" s="16" t="s">
        <v>78</v>
      </c>
      <c r="F2351" s="16" t="s">
        <v>399</v>
      </c>
      <c r="G2351" s="8" t="s">
        <v>1335</v>
      </c>
      <c r="H2351" s="8" t="s">
        <v>1336</v>
      </c>
      <c r="I2351" s="16" t="s">
        <v>296</v>
      </c>
      <c r="J2351" s="16">
        <v>17.377293940000001</v>
      </c>
      <c r="K2351" s="16">
        <v>-96.507643790000003</v>
      </c>
      <c r="L2351" s="16" t="str">
        <f>HYPERLINK("https://maps.google.com/?q=17.37729394,-96.50764379", "🔗 Ver Mapa")</f>
        <v>🔗 Ver Mapa</v>
      </c>
    </row>
    <row r="2352" spans="1:12" ht="43.5" x14ac:dyDescent="0.35">
      <c r="A2352" s="6" t="s">
        <v>4</v>
      </c>
      <c r="B2352" s="6" t="s">
        <v>17</v>
      </c>
      <c r="C2352" s="6" t="s">
        <v>1334</v>
      </c>
      <c r="D2352" s="11" t="s">
        <v>64</v>
      </c>
      <c r="E2352" s="17" t="s">
        <v>78</v>
      </c>
      <c r="F2352" s="17" t="s">
        <v>399</v>
      </c>
      <c r="G2352" s="11" t="s">
        <v>1335</v>
      </c>
      <c r="H2352" s="11" t="s">
        <v>1336</v>
      </c>
      <c r="I2352" s="17" t="s">
        <v>296</v>
      </c>
      <c r="J2352" s="17">
        <v>17.37857868</v>
      </c>
      <c r="K2352" s="17">
        <v>-96.504202460000002</v>
      </c>
      <c r="L2352" s="17" t="str">
        <f>HYPERLINK("https://maps.google.com/?q=17.37857868,-96.50420246", "🔗 Ver Mapa")</f>
        <v>🔗 Ver Mapa</v>
      </c>
    </row>
    <row r="2353" spans="1:12" ht="43.5" x14ac:dyDescent="0.35">
      <c r="A2353" s="5" t="s">
        <v>4</v>
      </c>
      <c r="B2353" s="5" t="s">
        <v>17</v>
      </c>
      <c r="C2353" s="5" t="s">
        <v>1334</v>
      </c>
      <c r="D2353" s="8" t="s">
        <v>64</v>
      </c>
      <c r="E2353" s="16" t="s">
        <v>78</v>
      </c>
      <c r="F2353" s="16" t="s">
        <v>399</v>
      </c>
      <c r="G2353" s="8" t="s">
        <v>1335</v>
      </c>
      <c r="H2353" s="8" t="s">
        <v>1336</v>
      </c>
      <c r="I2353" s="16" t="s">
        <v>296</v>
      </c>
      <c r="J2353" s="16">
        <v>17.37859036</v>
      </c>
      <c r="K2353" s="16">
        <v>-96.507306420000006</v>
      </c>
      <c r="L2353" s="16" t="str">
        <f>HYPERLINK("https://maps.google.com/?q=17.37859036,-96.50730642", "🔗 Ver Mapa")</f>
        <v>🔗 Ver Mapa</v>
      </c>
    </row>
    <row r="2354" spans="1:12" ht="43.5" x14ac:dyDescent="0.35">
      <c r="A2354" s="6" t="s">
        <v>4</v>
      </c>
      <c r="B2354" s="6" t="s">
        <v>17</v>
      </c>
      <c r="C2354" s="6" t="s">
        <v>1334</v>
      </c>
      <c r="D2354" s="11" t="s">
        <v>64</v>
      </c>
      <c r="E2354" s="17" t="s">
        <v>78</v>
      </c>
      <c r="F2354" s="17" t="s">
        <v>399</v>
      </c>
      <c r="G2354" s="11" t="s">
        <v>1335</v>
      </c>
      <c r="H2354" s="11" t="s">
        <v>1336</v>
      </c>
      <c r="I2354" s="17" t="s">
        <v>296</v>
      </c>
      <c r="J2354" s="17">
        <v>17.378692189999999</v>
      </c>
      <c r="K2354" s="17">
        <v>-96.503890510000005</v>
      </c>
      <c r="L2354" s="17" t="str">
        <f>HYPERLINK("https://maps.google.com/?q=17.37869219,-96.50389051", "🔗 Ver Mapa")</f>
        <v>🔗 Ver Mapa</v>
      </c>
    </row>
    <row r="2355" spans="1:12" ht="43.5" x14ac:dyDescent="0.35">
      <c r="A2355" s="5" t="s">
        <v>4</v>
      </c>
      <c r="B2355" s="5" t="s">
        <v>17</v>
      </c>
      <c r="C2355" s="5" t="s">
        <v>1334</v>
      </c>
      <c r="D2355" s="8" t="s">
        <v>64</v>
      </c>
      <c r="E2355" s="16" t="s">
        <v>78</v>
      </c>
      <c r="F2355" s="16" t="s">
        <v>399</v>
      </c>
      <c r="G2355" s="8" t="s">
        <v>1335</v>
      </c>
      <c r="H2355" s="8" t="s">
        <v>1336</v>
      </c>
      <c r="I2355" s="16" t="s">
        <v>296</v>
      </c>
      <c r="J2355" s="16">
        <v>17.378876519999999</v>
      </c>
      <c r="K2355" s="16">
        <v>-96.507076789999999</v>
      </c>
      <c r="L2355" s="16" t="str">
        <f>HYPERLINK("https://maps.google.com/?q=17.37887652,-96.50707679", "🔗 Ver Mapa")</f>
        <v>🔗 Ver Mapa</v>
      </c>
    </row>
    <row r="2356" spans="1:12" ht="43.5" x14ac:dyDescent="0.35">
      <c r="A2356" s="6" t="s">
        <v>4</v>
      </c>
      <c r="B2356" s="6" t="s">
        <v>17</v>
      </c>
      <c r="C2356" s="6" t="s">
        <v>1334</v>
      </c>
      <c r="D2356" s="11" t="s">
        <v>64</v>
      </c>
      <c r="E2356" s="17" t="s">
        <v>78</v>
      </c>
      <c r="F2356" s="17" t="s">
        <v>399</v>
      </c>
      <c r="G2356" s="11" t="s">
        <v>1335</v>
      </c>
      <c r="H2356" s="11" t="s">
        <v>1336</v>
      </c>
      <c r="I2356" s="17" t="s">
        <v>296</v>
      </c>
      <c r="J2356" s="17">
        <v>17.37890801</v>
      </c>
      <c r="K2356" s="17">
        <v>-96.504536630000004</v>
      </c>
      <c r="L2356" s="17" t="str">
        <f>HYPERLINK("https://maps.google.com/?q=17.37890801,-96.50453663", "🔗 Ver Mapa")</f>
        <v>🔗 Ver Mapa</v>
      </c>
    </row>
    <row r="2357" spans="1:12" ht="43.5" x14ac:dyDescent="0.35">
      <c r="A2357" s="5" t="s">
        <v>4</v>
      </c>
      <c r="B2357" s="5" t="s">
        <v>17</v>
      </c>
      <c r="C2357" s="5" t="s">
        <v>1334</v>
      </c>
      <c r="D2357" s="8" t="s">
        <v>64</v>
      </c>
      <c r="E2357" s="16" t="s">
        <v>78</v>
      </c>
      <c r="F2357" s="16" t="s">
        <v>399</v>
      </c>
      <c r="G2357" s="8" t="s">
        <v>1335</v>
      </c>
      <c r="H2357" s="8" t="s">
        <v>1336</v>
      </c>
      <c r="I2357" s="16" t="s">
        <v>296</v>
      </c>
      <c r="J2357" s="16">
        <v>17.37892252</v>
      </c>
      <c r="K2357" s="16">
        <v>-96.503529940000007</v>
      </c>
      <c r="L2357" s="16" t="str">
        <f>HYPERLINK("https://maps.google.com/?q=17.37892252,-96.50352994", "🔗 Ver Mapa")</f>
        <v>🔗 Ver Mapa</v>
      </c>
    </row>
    <row r="2358" spans="1:12" ht="43.5" x14ac:dyDescent="0.35">
      <c r="A2358" s="6" t="s">
        <v>4</v>
      </c>
      <c r="B2358" s="6" t="s">
        <v>17</v>
      </c>
      <c r="C2358" s="6" t="s">
        <v>1334</v>
      </c>
      <c r="D2358" s="11" t="s">
        <v>64</v>
      </c>
      <c r="E2358" s="17" t="s">
        <v>78</v>
      </c>
      <c r="F2358" s="17" t="s">
        <v>399</v>
      </c>
      <c r="G2358" s="11" t="s">
        <v>1335</v>
      </c>
      <c r="H2358" s="11" t="s">
        <v>1336</v>
      </c>
      <c r="I2358" s="17" t="s">
        <v>296</v>
      </c>
      <c r="J2358" s="17">
        <v>17.379009580000002</v>
      </c>
      <c r="K2358" s="17">
        <v>-96.504713969999997</v>
      </c>
      <c r="L2358" s="17" t="str">
        <f>HYPERLINK("https://maps.google.com/?q=17.37900958,-96.50471397", "🔗 Ver Mapa")</f>
        <v>🔗 Ver Mapa</v>
      </c>
    </row>
    <row r="2359" spans="1:12" ht="43.5" x14ac:dyDescent="0.35">
      <c r="A2359" s="5" t="s">
        <v>4</v>
      </c>
      <c r="B2359" s="5" t="s">
        <v>17</v>
      </c>
      <c r="C2359" s="5" t="s">
        <v>1334</v>
      </c>
      <c r="D2359" s="8" t="s">
        <v>64</v>
      </c>
      <c r="E2359" s="16" t="s">
        <v>78</v>
      </c>
      <c r="F2359" s="16" t="s">
        <v>399</v>
      </c>
      <c r="G2359" s="8" t="s">
        <v>1335</v>
      </c>
      <c r="H2359" s="8" t="s">
        <v>1336</v>
      </c>
      <c r="I2359" s="16" t="s">
        <v>296</v>
      </c>
      <c r="J2359" s="16">
        <v>17.379141650000001</v>
      </c>
      <c r="K2359" s="16">
        <v>-96.505163690000003</v>
      </c>
      <c r="L2359" s="16" t="str">
        <f>HYPERLINK("https://maps.google.com/?q=17.37914165,-96.50516369", "🔗 Ver Mapa")</f>
        <v>🔗 Ver Mapa</v>
      </c>
    </row>
    <row r="2360" spans="1:12" ht="43.5" x14ac:dyDescent="0.35">
      <c r="A2360" s="6" t="s">
        <v>4</v>
      </c>
      <c r="B2360" s="6" t="s">
        <v>17</v>
      </c>
      <c r="C2360" s="6" t="s">
        <v>1334</v>
      </c>
      <c r="D2360" s="11" t="s">
        <v>64</v>
      </c>
      <c r="E2360" s="17" t="s">
        <v>78</v>
      </c>
      <c r="F2360" s="17" t="s">
        <v>399</v>
      </c>
      <c r="G2360" s="11" t="s">
        <v>1335</v>
      </c>
      <c r="H2360" s="11" t="s">
        <v>1336</v>
      </c>
      <c r="I2360" s="17" t="s">
        <v>296</v>
      </c>
      <c r="J2360" s="17">
        <v>17.379209360000001</v>
      </c>
      <c r="K2360" s="17">
        <v>-96.506968810000004</v>
      </c>
      <c r="L2360" s="17" t="str">
        <f>HYPERLINK("https://maps.google.com/?q=17.37920936,-96.50696881", "🔗 Ver Mapa")</f>
        <v>🔗 Ver Mapa</v>
      </c>
    </row>
    <row r="2361" spans="1:12" ht="43.5" x14ac:dyDescent="0.35">
      <c r="A2361" s="5" t="s">
        <v>4</v>
      </c>
      <c r="B2361" s="5" t="s">
        <v>17</v>
      </c>
      <c r="C2361" s="5" t="s">
        <v>1334</v>
      </c>
      <c r="D2361" s="8" t="s">
        <v>64</v>
      </c>
      <c r="E2361" s="16" t="s">
        <v>78</v>
      </c>
      <c r="F2361" s="16" t="s">
        <v>399</v>
      </c>
      <c r="G2361" s="8" t="s">
        <v>1335</v>
      </c>
      <c r="H2361" s="8" t="s">
        <v>1336</v>
      </c>
      <c r="I2361" s="16" t="s">
        <v>296</v>
      </c>
      <c r="J2361" s="16">
        <v>17.379233320000001</v>
      </c>
      <c r="K2361" s="16">
        <v>-96.503826739999994</v>
      </c>
      <c r="L2361" s="16" t="str">
        <f>HYPERLINK("https://maps.google.com/?q=17.37923332,-96.50382674", "🔗 Ver Mapa")</f>
        <v>🔗 Ver Mapa</v>
      </c>
    </row>
    <row r="2362" spans="1:12" ht="43.5" x14ac:dyDescent="0.35">
      <c r="A2362" s="6" t="s">
        <v>4</v>
      </c>
      <c r="B2362" s="6" t="s">
        <v>17</v>
      </c>
      <c r="C2362" s="6" t="s">
        <v>1334</v>
      </c>
      <c r="D2362" s="11" t="s">
        <v>64</v>
      </c>
      <c r="E2362" s="17" t="s">
        <v>78</v>
      </c>
      <c r="F2362" s="17" t="s">
        <v>399</v>
      </c>
      <c r="G2362" s="11" t="s">
        <v>1335</v>
      </c>
      <c r="H2362" s="11" t="s">
        <v>1336</v>
      </c>
      <c r="I2362" s="17" t="s">
        <v>296</v>
      </c>
      <c r="J2362" s="17">
        <v>17.37926345</v>
      </c>
      <c r="K2362" s="17">
        <v>-96.5033466</v>
      </c>
      <c r="L2362" s="17" t="str">
        <f>HYPERLINK("https://maps.google.com/?q=17.37926345,-96.5033466", "🔗 Ver Mapa")</f>
        <v>🔗 Ver Mapa</v>
      </c>
    </row>
    <row r="2363" spans="1:12" ht="43.5" x14ac:dyDescent="0.35">
      <c r="A2363" s="5" t="s">
        <v>4</v>
      </c>
      <c r="B2363" s="5" t="s">
        <v>17</v>
      </c>
      <c r="C2363" s="5" t="s">
        <v>1334</v>
      </c>
      <c r="D2363" s="8" t="s">
        <v>64</v>
      </c>
      <c r="E2363" s="16" t="s">
        <v>78</v>
      </c>
      <c r="F2363" s="16" t="s">
        <v>399</v>
      </c>
      <c r="G2363" s="8" t="s">
        <v>1335</v>
      </c>
      <c r="H2363" s="8" t="s">
        <v>1336</v>
      </c>
      <c r="I2363" s="16" t="s">
        <v>296</v>
      </c>
      <c r="J2363" s="16">
        <v>17.379323840000001</v>
      </c>
      <c r="K2363" s="16">
        <v>-96.503120030000005</v>
      </c>
      <c r="L2363" s="16" t="str">
        <f>HYPERLINK("https://maps.google.com/?q=17.37932384,-96.50312003", "🔗 Ver Mapa")</f>
        <v>🔗 Ver Mapa</v>
      </c>
    </row>
    <row r="2364" spans="1:12" ht="43.5" x14ac:dyDescent="0.35">
      <c r="A2364" s="6" t="s">
        <v>4</v>
      </c>
      <c r="B2364" s="6" t="s">
        <v>17</v>
      </c>
      <c r="C2364" s="6" t="s">
        <v>1334</v>
      </c>
      <c r="D2364" s="11" t="s">
        <v>64</v>
      </c>
      <c r="E2364" s="17" t="s">
        <v>78</v>
      </c>
      <c r="F2364" s="17" t="s">
        <v>399</v>
      </c>
      <c r="G2364" s="11" t="s">
        <v>1335</v>
      </c>
      <c r="H2364" s="11" t="s">
        <v>1336</v>
      </c>
      <c r="I2364" s="17" t="s">
        <v>296</v>
      </c>
      <c r="J2364" s="17">
        <v>17.379335950000002</v>
      </c>
      <c r="K2364" s="17">
        <v>-96.504088719999999</v>
      </c>
      <c r="L2364" s="17" t="str">
        <f>HYPERLINK("https://maps.google.com/?q=17.37933595,-96.50408872", "🔗 Ver Mapa")</f>
        <v>🔗 Ver Mapa</v>
      </c>
    </row>
    <row r="2365" spans="1:12" ht="43.5" x14ac:dyDescent="0.35">
      <c r="A2365" s="5" t="s">
        <v>4</v>
      </c>
      <c r="B2365" s="5" t="s">
        <v>17</v>
      </c>
      <c r="C2365" s="5" t="s">
        <v>1334</v>
      </c>
      <c r="D2365" s="8" t="s">
        <v>64</v>
      </c>
      <c r="E2365" s="16" t="s">
        <v>78</v>
      </c>
      <c r="F2365" s="16" t="s">
        <v>399</v>
      </c>
      <c r="G2365" s="8" t="s">
        <v>1335</v>
      </c>
      <c r="H2365" s="8" t="s">
        <v>1336</v>
      </c>
      <c r="I2365" s="16" t="s">
        <v>296</v>
      </c>
      <c r="J2365" s="16">
        <v>17.379369929999999</v>
      </c>
      <c r="K2365" s="16">
        <v>-96.503194649999998</v>
      </c>
      <c r="L2365" s="16" t="str">
        <f>HYPERLINK("https://maps.google.com/?q=17.37936993,-96.50319465", "🔗 Ver Mapa")</f>
        <v>🔗 Ver Mapa</v>
      </c>
    </row>
    <row r="2366" spans="1:12" ht="43.5" x14ac:dyDescent="0.35">
      <c r="A2366" s="6" t="s">
        <v>4</v>
      </c>
      <c r="B2366" s="6" t="s">
        <v>17</v>
      </c>
      <c r="C2366" s="6" t="s">
        <v>1334</v>
      </c>
      <c r="D2366" s="11" t="s">
        <v>64</v>
      </c>
      <c r="E2366" s="17" t="s">
        <v>78</v>
      </c>
      <c r="F2366" s="17" t="s">
        <v>399</v>
      </c>
      <c r="G2366" s="11" t="s">
        <v>1335</v>
      </c>
      <c r="H2366" s="11" t="s">
        <v>1336</v>
      </c>
      <c r="I2366" s="17" t="s">
        <v>296</v>
      </c>
      <c r="J2366" s="17">
        <v>17.379431719999999</v>
      </c>
      <c r="K2366" s="17">
        <v>-96.506693010000006</v>
      </c>
      <c r="L2366" s="17" t="str">
        <f>HYPERLINK("https://maps.google.com/?q=17.37943172,-96.50669301", "🔗 Ver Mapa")</f>
        <v>🔗 Ver Mapa</v>
      </c>
    </row>
    <row r="2367" spans="1:12" ht="43.5" x14ac:dyDescent="0.35">
      <c r="A2367" s="5" t="s">
        <v>4</v>
      </c>
      <c r="B2367" s="5" t="s">
        <v>17</v>
      </c>
      <c r="C2367" s="5" t="s">
        <v>1334</v>
      </c>
      <c r="D2367" s="8" t="s">
        <v>64</v>
      </c>
      <c r="E2367" s="16" t="s">
        <v>78</v>
      </c>
      <c r="F2367" s="16" t="s">
        <v>399</v>
      </c>
      <c r="G2367" s="8" t="s">
        <v>1335</v>
      </c>
      <c r="H2367" s="8" t="s">
        <v>1336</v>
      </c>
      <c r="I2367" s="16" t="s">
        <v>296</v>
      </c>
      <c r="J2367" s="16">
        <v>17.37948214</v>
      </c>
      <c r="K2367" s="16">
        <v>-96.506391320000006</v>
      </c>
      <c r="L2367" s="16" t="str">
        <f>HYPERLINK("https://maps.google.com/?q=17.37948214,-96.50639132", "🔗 Ver Mapa")</f>
        <v>🔗 Ver Mapa</v>
      </c>
    </row>
    <row r="2368" spans="1:12" ht="43.5" x14ac:dyDescent="0.35">
      <c r="A2368" s="6" t="s">
        <v>4</v>
      </c>
      <c r="B2368" s="6" t="s">
        <v>17</v>
      </c>
      <c r="C2368" s="6" t="s">
        <v>1334</v>
      </c>
      <c r="D2368" s="11" t="s">
        <v>64</v>
      </c>
      <c r="E2368" s="17" t="s">
        <v>78</v>
      </c>
      <c r="F2368" s="17" t="s">
        <v>399</v>
      </c>
      <c r="G2368" s="11" t="s">
        <v>1335</v>
      </c>
      <c r="H2368" s="11" t="s">
        <v>1336</v>
      </c>
      <c r="I2368" s="17" t="s">
        <v>296</v>
      </c>
      <c r="J2368" s="17">
        <v>17.379508040000001</v>
      </c>
      <c r="K2368" s="17">
        <v>-96.505572610000002</v>
      </c>
      <c r="L2368" s="17" t="str">
        <f>HYPERLINK("https://maps.google.com/?q=17.37950804,-96.50557261", "🔗 Ver Mapa")</f>
        <v>🔗 Ver Mapa</v>
      </c>
    </row>
    <row r="2369" spans="1:12" ht="43.5" x14ac:dyDescent="0.35">
      <c r="A2369" s="5" t="s">
        <v>4</v>
      </c>
      <c r="B2369" s="5" t="s">
        <v>17</v>
      </c>
      <c r="C2369" s="5" t="s">
        <v>1334</v>
      </c>
      <c r="D2369" s="8" t="s">
        <v>64</v>
      </c>
      <c r="E2369" s="16" t="s">
        <v>78</v>
      </c>
      <c r="F2369" s="16" t="s">
        <v>399</v>
      </c>
      <c r="G2369" s="8" t="s">
        <v>1335</v>
      </c>
      <c r="H2369" s="8" t="s">
        <v>1336</v>
      </c>
      <c r="I2369" s="16" t="s">
        <v>296</v>
      </c>
      <c r="J2369" s="16">
        <v>17.379510119999999</v>
      </c>
      <c r="K2369" s="16">
        <v>-96.5042933</v>
      </c>
      <c r="L2369" s="16" t="str">
        <f>HYPERLINK("https://maps.google.com/?q=17.37951012,-96.5042933", "🔗 Ver Mapa")</f>
        <v>🔗 Ver Mapa</v>
      </c>
    </row>
    <row r="2370" spans="1:12" ht="43.5" x14ac:dyDescent="0.35">
      <c r="A2370" s="6" t="s">
        <v>4</v>
      </c>
      <c r="B2370" s="6" t="s">
        <v>17</v>
      </c>
      <c r="C2370" s="6" t="s">
        <v>1334</v>
      </c>
      <c r="D2370" s="11" t="s">
        <v>64</v>
      </c>
      <c r="E2370" s="17" t="s">
        <v>78</v>
      </c>
      <c r="F2370" s="17" t="s">
        <v>399</v>
      </c>
      <c r="G2370" s="11" t="s">
        <v>1335</v>
      </c>
      <c r="H2370" s="11" t="s">
        <v>1336</v>
      </c>
      <c r="I2370" s="17" t="s">
        <v>296</v>
      </c>
      <c r="J2370" s="17">
        <v>17.379639640000001</v>
      </c>
      <c r="K2370" s="17">
        <v>-96.505984710000007</v>
      </c>
      <c r="L2370" s="17" t="str">
        <f>HYPERLINK("https://maps.google.com/?q=17.37963964,-96.50598471", "🔗 Ver Mapa")</f>
        <v>🔗 Ver Mapa</v>
      </c>
    </row>
    <row r="2371" spans="1:12" ht="43.5" x14ac:dyDescent="0.35">
      <c r="A2371" s="5" t="s">
        <v>4</v>
      </c>
      <c r="B2371" s="5" t="s">
        <v>17</v>
      </c>
      <c r="C2371" s="5" t="s">
        <v>1334</v>
      </c>
      <c r="D2371" s="8" t="s">
        <v>64</v>
      </c>
      <c r="E2371" s="16" t="s">
        <v>78</v>
      </c>
      <c r="F2371" s="16" t="s">
        <v>399</v>
      </c>
      <c r="G2371" s="8" t="s">
        <v>1335</v>
      </c>
      <c r="H2371" s="8" t="s">
        <v>1336</v>
      </c>
      <c r="I2371" s="16" t="s">
        <v>296</v>
      </c>
      <c r="J2371" s="16">
        <v>17.379779060000001</v>
      </c>
      <c r="K2371" s="16">
        <v>-96.504854039999998</v>
      </c>
      <c r="L2371" s="16" t="str">
        <f>HYPERLINK("https://maps.google.com/?q=17.37977906,-96.50485404", "🔗 Ver Mapa")</f>
        <v>🔗 Ver Mapa</v>
      </c>
    </row>
    <row r="2372" spans="1:12" ht="43.5" x14ac:dyDescent="0.35">
      <c r="A2372" s="6" t="s">
        <v>4</v>
      </c>
      <c r="B2372" s="6" t="s">
        <v>17</v>
      </c>
      <c r="C2372" s="6" t="s">
        <v>1334</v>
      </c>
      <c r="D2372" s="11" t="s">
        <v>64</v>
      </c>
      <c r="E2372" s="17" t="s">
        <v>78</v>
      </c>
      <c r="F2372" s="17" t="s">
        <v>399</v>
      </c>
      <c r="G2372" s="11" t="s">
        <v>1335</v>
      </c>
      <c r="H2372" s="11" t="s">
        <v>1336</v>
      </c>
      <c r="I2372" s="17" t="s">
        <v>296</v>
      </c>
      <c r="J2372" s="17">
        <v>17.37987661</v>
      </c>
      <c r="K2372" s="17">
        <v>-96.503987330000001</v>
      </c>
      <c r="L2372" s="17" t="str">
        <f>HYPERLINK("https://maps.google.com/?q=17.37987661,-96.50398733", "🔗 Ver Mapa")</f>
        <v>🔗 Ver Mapa</v>
      </c>
    </row>
    <row r="2373" spans="1:12" ht="43.5" x14ac:dyDescent="0.35">
      <c r="A2373" s="5" t="s">
        <v>4</v>
      </c>
      <c r="B2373" s="5" t="s">
        <v>17</v>
      </c>
      <c r="C2373" s="5" t="s">
        <v>1334</v>
      </c>
      <c r="D2373" s="8" t="s">
        <v>64</v>
      </c>
      <c r="E2373" s="16" t="s">
        <v>78</v>
      </c>
      <c r="F2373" s="16" t="s">
        <v>399</v>
      </c>
      <c r="G2373" s="8" t="s">
        <v>1335</v>
      </c>
      <c r="H2373" s="8" t="s">
        <v>1336</v>
      </c>
      <c r="I2373" s="16" t="s">
        <v>296</v>
      </c>
      <c r="J2373" s="16">
        <v>17.379900899999999</v>
      </c>
      <c r="K2373" s="16">
        <v>-96.504485540000005</v>
      </c>
      <c r="L2373" s="16" t="str">
        <f>HYPERLINK("https://maps.google.com/?q=17.3799009,-96.50448554", "🔗 Ver Mapa")</f>
        <v>🔗 Ver Mapa</v>
      </c>
    </row>
    <row r="2374" spans="1:12" ht="43.5" x14ac:dyDescent="0.35">
      <c r="A2374" s="6" t="s">
        <v>4</v>
      </c>
      <c r="B2374" s="6" t="s">
        <v>17</v>
      </c>
      <c r="C2374" s="6" t="s">
        <v>1334</v>
      </c>
      <c r="D2374" s="11" t="s">
        <v>64</v>
      </c>
      <c r="E2374" s="17" t="s">
        <v>78</v>
      </c>
      <c r="F2374" s="17" t="s">
        <v>399</v>
      </c>
      <c r="G2374" s="11" t="s">
        <v>1335</v>
      </c>
      <c r="H2374" s="11" t="s">
        <v>1336</v>
      </c>
      <c r="I2374" s="17" t="s">
        <v>296</v>
      </c>
      <c r="J2374" s="17">
        <v>17.379944080000001</v>
      </c>
      <c r="K2374" s="17">
        <v>-96.505049339999999</v>
      </c>
      <c r="L2374" s="17" t="str">
        <f>HYPERLINK("https://maps.google.com/?q=17.37994408,-96.50504934", "🔗 Ver Mapa")</f>
        <v>🔗 Ver Mapa</v>
      </c>
    </row>
    <row r="2375" spans="1:12" ht="43.5" x14ac:dyDescent="0.35">
      <c r="A2375" s="5" t="s">
        <v>4</v>
      </c>
      <c r="B2375" s="5" t="s">
        <v>17</v>
      </c>
      <c r="C2375" s="5" t="s">
        <v>1334</v>
      </c>
      <c r="D2375" s="8" t="s">
        <v>64</v>
      </c>
      <c r="E2375" s="16" t="s">
        <v>78</v>
      </c>
      <c r="F2375" s="16" t="s">
        <v>399</v>
      </c>
      <c r="G2375" s="8" t="s">
        <v>1335</v>
      </c>
      <c r="H2375" s="8" t="s">
        <v>1336</v>
      </c>
      <c r="I2375" s="16" t="s">
        <v>296</v>
      </c>
      <c r="J2375" s="16">
        <v>17.38001263</v>
      </c>
      <c r="K2375" s="16">
        <v>-96.503308219999994</v>
      </c>
      <c r="L2375" s="16" t="str">
        <f>HYPERLINK("https://maps.google.com/?q=17.38001263,-96.50330822", "🔗 Ver Mapa")</f>
        <v>🔗 Ver Mapa</v>
      </c>
    </row>
    <row r="2376" spans="1:12" ht="43.5" x14ac:dyDescent="0.35">
      <c r="A2376" s="6" t="s">
        <v>4</v>
      </c>
      <c r="B2376" s="6" t="s">
        <v>17</v>
      </c>
      <c r="C2376" s="6" t="s">
        <v>1334</v>
      </c>
      <c r="D2376" s="11" t="s">
        <v>64</v>
      </c>
      <c r="E2376" s="17" t="s">
        <v>78</v>
      </c>
      <c r="F2376" s="17" t="s">
        <v>399</v>
      </c>
      <c r="G2376" s="11" t="s">
        <v>1335</v>
      </c>
      <c r="H2376" s="11" t="s">
        <v>1336</v>
      </c>
      <c r="I2376" s="17" t="s">
        <v>296</v>
      </c>
      <c r="J2376" s="17">
        <v>17.380078130000001</v>
      </c>
      <c r="K2376" s="17">
        <v>-96.504934649999996</v>
      </c>
      <c r="L2376" s="17" t="str">
        <f>HYPERLINK("https://maps.google.com/?q=17.38007813,-96.50493465", "🔗 Ver Mapa")</f>
        <v>🔗 Ver Mapa</v>
      </c>
    </row>
    <row r="2377" spans="1:12" ht="43.5" x14ac:dyDescent="0.35">
      <c r="A2377" s="5" t="s">
        <v>4</v>
      </c>
      <c r="B2377" s="5" t="s">
        <v>17</v>
      </c>
      <c r="C2377" s="5" t="s">
        <v>1334</v>
      </c>
      <c r="D2377" s="8" t="s">
        <v>64</v>
      </c>
      <c r="E2377" s="16" t="s">
        <v>78</v>
      </c>
      <c r="F2377" s="16" t="s">
        <v>399</v>
      </c>
      <c r="G2377" s="8" t="s">
        <v>1335</v>
      </c>
      <c r="H2377" s="8" t="s">
        <v>1336</v>
      </c>
      <c r="I2377" s="16" t="s">
        <v>296</v>
      </c>
      <c r="J2377" s="16">
        <v>17.380079299999998</v>
      </c>
      <c r="K2377" s="16">
        <v>-96.505028699999997</v>
      </c>
      <c r="L2377" s="16" t="str">
        <f>HYPERLINK("https://maps.google.com/?q=17.3800793,-96.5050287", "🔗 Ver Mapa")</f>
        <v>🔗 Ver Mapa</v>
      </c>
    </row>
    <row r="2378" spans="1:12" ht="43.5" x14ac:dyDescent="0.35">
      <c r="A2378" s="6" t="s">
        <v>4</v>
      </c>
      <c r="B2378" s="6" t="s">
        <v>17</v>
      </c>
      <c r="C2378" s="6" t="s">
        <v>1334</v>
      </c>
      <c r="D2378" s="11" t="s">
        <v>64</v>
      </c>
      <c r="E2378" s="17" t="s">
        <v>78</v>
      </c>
      <c r="F2378" s="17" t="s">
        <v>399</v>
      </c>
      <c r="G2378" s="11" t="s">
        <v>1335</v>
      </c>
      <c r="H2378" s="11" t="s">
        <v>1336</v>
      </c>
      <c r="I2378" s="17" t="s">
        <v>296</v>
      </c>
      <c r="J2378" s="17">
        <v>17.380239660000001</v>
      </c>
      <c r="K2378" s="17">
        <v>-96.502684310000006</v>
      </c>
      <c r="L2378" s="17" t="str">
        <f>HYPERLINK("https://maps.google.com/?q=17.38023966,-96.50268431", "🔗 Ver Mapa")</f>
        <v>🔗 Ver Mapa</v>
      </c>
    </row>
    <row r="2379" spans="1:12" ht="43.5" x14ac:dyDescent="0.35">
      <c r="A2379" s="5" t="s">
        <v>4</v>
      </c>
      <c r="B2379" s="5" t="s">
        <v>17</v>
      </c>
      <c r="C2379" s="5" t="s">
        <v>1334</v>
      </c>
      <c r="D2379" s="8" t="s">
        <v>64</v>
      </c>
      <c r="E2379" s="16" t="s">
        <v>78</v>
      </c>
      <c r="F2379" s="16" t="s">
        <v>399</v>
      </c>
      <c r="G2379" s="8" t="s">
        <v>1335</v>
      </c>
      <c r="H2379" s="8" t="s">
        <v>1336</v>
      </c>
      <c r="I2379" s="16" t="s">
        <v>296</v>
      </c>
      <c r="J2379" s="16">
        <v>17.38054743</v>
      </c>
      <c r="K2379" s="16">
        <v>-96.500573079999995</v>
      </c>
      <c r="L2379" s="16" t="str">
        <f>HYPERLINK("https://maps.google.com/?q=17.38054743,-96.50057308", "🔗 Ver Mapa")</f>
        <v>🔗 Ver Mapa</v>
      </c>
    </row>
    <row r="2380" spans="1:12" ht="43.5" x14ac:dyDescent="0.35">
      <c r="A2380" s="6" t="s">
        <v>4</v>
      </c>
      <c r="B2380" s="6" t="s">
        <v>17</v>
      </c>
      <c r="C2380" s="6" t="s">
        <v>1334</v>
      </c>
      <c r="D2380" s="11" t="s">
        <v>64</v>
      </c>
      <c r="E2380" s="17" t="s">
        <v>78</v>
      </c>
      <c r="F2380" s="17" t="s">
        <v>399</v>
      </c>
      <c r="G2380" s="11" t="s">
        <v>1335</v>
      </c>
      <c r="H2380" s="11" t="s">
        <v>1336</v>
      </c>
      <c r="I2380" s="17" t="s">
        <v>296</v>
      </c>
      <c r="J2380" s="17">
        <v>17.38056838</v>
      </c>
      <c r="K2380" s="17">
        <v>-96.502247150000002</v>
      </c>
      <c r="L2380" s="17" t="str">
        <f>HYPERLINK("https://maps.google.com/?q=17.38056838,-96.50224715", "🔗 Ver Mapa")</f>
        <v>🔗 Ver Mapa</v>
      </c>
    </row>
    <row r="2381" spans="1:12" ht="43.5" x14ac:dyDescent="0.35">
      <c r="A2381" s="5" t="s">
        <v>4</v>
      </c>
      <c r="B2381" s="5" t="s">
        <v>17</v>
      </c>
      <c r="C2381" s="5" t="s">
        <v>1334</v>
      </c>
      <c r="D2381" s="8" t="s">
        <v>64</v>
      </c>
      <c r="E2381" s="16" t="s">
        <v>78</v>
      </c>
      <c r="F2381" s="16" t="s">
        <v>399</v>
      </c>
      <c r="G2381" s="8" t="s">
        <v>1335</v>
      </c>
      <c r="H2381" s="8" t="s">
        <v>1336</v>
      </c>
      <c r="I2381" s="16" t="s">
        <v>296</v>
      </c>
      <c r="J2381" s="16">
        <v>17.380574790000001</v>
      </c>
      <c r="K2381" s="16">
        <v>-96.501315820000002</v>
      </c>
      <c r="L2381" s="16" t="str">
        <f>HYPERLINK("https://maps.google.com/?q=17.38057479,-96.50131582", "🔗 Ver Mapa")</f>
        <v>🔗 Ver Mapa</v>
      </c>
    </row>
    <row r="2382" spans="1:12" ht="43.5" x14ac:dyDescent="0.35">
      <c r="A2382" s="6" t="s">
        <v>4</v>
      </c>
      <c r="B2382" s="6" t="s">
        <v>17</v>
      </c>
      <c r="C2382" s="6" t="s">
        <v>1334</v>
      </c>
      <c r="D2382" s="11" t="s">
        <v>64</v>
      </c>
      <c r="E2382" s="17" t="s">
        <v>78</v>
      </c>
      <c r="F2382" s="17" t="s">
        <v>399</v>
      </c>
      <c r="G2382" s="11" t="s">
        <v>1335</v>
      </c>
      <c r="H2382" s="11" t="s">
        <v>1336</v>
      </c>
      <c r="I2382" s="17" t="s">
        <v>296</v>
      </c>
      <c r="J2382" s="17">
        <v>17.380679000000001</v>
      </c>
      <c r="K2382" s="17">
        <v>-96.500260879999999</v>
      </c>
      <c r="L2382" s="17" t="str">
        <f>HYPERLINK("https://maps.google.com/?q=17.380679,-96.50026088", "🔗 Ver Mapa")</f>
        <v>🔗 Ver Mapa</v>
      </c>
    </row>
    <row r="2383" spans="1:12" ht="43.5" x14ac:dyDescent="0.35">
      <c r="A2383" s="5" t="s">
        <v>4</v>
      </c>
      <c r="B2383" s="5" t="s">
        <v>17</v>
      </c>
      <c r="C2383" s="5" t="s">
        <v>1334</v>
      </c>
      <c r="D2383" s="8" t="s">
        <v>64</v>
      </c>
      <c r="E2383" s="16" t="s">
        <v>78</v>
      </c>
      <c r="F2383" s="16" t="s">
        <v>399</v>
      </c>
      <c r="G2383" s="8" t="s">
        <v>1335</v>
      </c>
      <c r="H2383" s="8" t="s">
        <v>1336</v>
      </c>
      <c r="I2383" s="16" t="s">
        <v>296</v>
      </c>
      <c r="J2383" s="16">
        <v>17.380891609999999</v>
      </c>
      <c r="K2383" s="16">
        <v>-96.499928769999997</v>
      </c>
      <c r="L2383" s="16" t="str">
        <f>HYPERLINK("https://maps.google.com/?q=17.38089161,-96.49992877", "🔗 Ver Mapa")</f>
        <v>🔗 Ver Mapa</v>
      </c>
    </row>
    <row r="2384" spans="1:12" ht="43.5" x14ac:dyDescent="0.35">
      <c r="A2384" s="6" t="s">
        <v>4</v>
      </c>
      <c r="B2384" s="6" t="s">
        <v>17</v>
      </c>
      <c r="C2384" s="6" t="s">
        <v>1334</v>
      </c>
      <c r="D2384" s="11" t="s">
        <v>64</v>
      </c>
      <c r="E2384" s="17" t="s">
        <v>78</v>
      </c>
      <c r="F2384" s="17" t="s">
        <v>399</v>
      </c>
      <c r="G2384" s="11" t="s">
        <v>1335</v>
      </c>
      <c r="H2384" s="11" t="s">
        <v>1336</v>
      </c>
      <c r="I2384" s="17" t="s">
        <v>296</v>
      </c>
      <c r="J2384" s="17">
        <v>17.381159589999999</v>
      </c>
      <c r="K2384" s="17">
        <v>-96.499689959999998</v>
      </c>
      <c r="L2384" s="17" t="str">
        <f>HYPERLINK("https://maps.google.com/?q=17.38115959,-96.49968996", "🔗 Ver Mapa")</f>
        <v>🔗 Ver Mapa</v>
      </c>
    </row>
    <row r="2385" spans="1:12" ht="43.5" x14ac:dyDescent="0.35">
      <c r="A2385" s="5" t="s">
        <v>4</v>
      </c>
      <c r="B2385" s="5" t="s">
        <v>17</v>
      </c>
      <c r="C2385" s="5" t="s">
        <v>1334</v>
      </c>
      <c r="D2385" s="8" t="s">
        <v>64</v>
      </c>
      <c r="E2385" s="16" t="s">
        <v>78</v>
      </c>
      <c r="F2385" s="16" t="s">
        <v>399</v>
      </c>
      <c r="G2385" s="8" t="s">
        <v>1335</v>
      </c>
      <c r="H2385" s="8" t="s">
        <v>1336</v>
      </c>
      <c r="I2385" s="16" t="s">
        <v>296</v>
      </c>
      <c r="J2385" s="16">
        <v>17.381410559999999</v>
      </c>
      <c r="K2385" s="16">
        <v>-96.499536050000003</v>
      </c>
      <c r="L2385" s="16" t="str">
        <f>HYPERLINK("https://maps.google.com/?q=17.38141056,-96.49953605", "🔗 Ver Mapa")</f>
        <v>🔗 Ver Mapa</v>
      </c>
    </row>
    <row r="2386" spans="1:12" ht="43.5" x14ac:dyDescent="0.35">
      <c r="A2386" s="6" t="s">
        <v>4</v>
      </c>
      <c r="B2386" s="6" t="s">
        <v>17</v>
      </c>
      <c r="C2386" s="6" t="s">
        <v>1334</v>
      </c>
      <c r="D2386" s="11" t="s">
        <v>64</v>
      </c>
      <c r="E2386" s="17" t="s">
        <v>78</v>
      </c>
      <c r="F2386" s="17" t="s">
        <v>399</v>
      </c>
      <c r="G2386" s="11" t="s">
        <v>1335</v>
      </c>
      <c r="H2386" s="11" t="s">
        <v>1336</v>
      </c>
      <c r="I2386" s="17" t="s">
        <v>296</v>
      </c>
      <c r="J2386" s="17">
        <v>17.381700240000001</v>
      </c>
      <c r="K2386" s="17">
        <v>-96.499588549999999</v>
      </c>
      <c r="L2386" s="17" t="str">
        <f>HYPERLINK("https://maps.google.com/?q=17.38170024,-96.49958855", "🔗 Ver Mapa")</f>
        <v>🔗 Ver Mapa</v>
      </c>
    </row>
    <row r="2387" spans="1:12" ht="43.5" x14ac:dyDescent="0.35">
      <c r="A2387" s="5" t="s">
        <v>4</v>
      </c>
      <c r="B2387" s="5" t="s">
        <v>17</v>
      </c>
      <c r="C2387" s="5" t="s">
        <v>1334</v>
      </c>
      <c r="D2387" s="8" t="s">
        <v>64</v>
      </c>
      <c r="E2387" s="16" t="s">
        <v>78</v>
      </c>
      <c r="F2387" s="16" t="s">
        <v>399</v>
      </c>
      <c r="G2387" s="8" t="s">
        <v>1335</v>
      </c>
      <c r="H2387" s="8" t="s">
        <v>1336</v>
      </c>
      <c r="I2387" s="16" t="s">
        <v>296</v>
      </c>
      <c r="J2387" s="16">
        <v>17.382723089999999</v>
      </c>
      <c r="K2387" s="16">
        <v>-96.500487100000001</v>
      </c>
      <c r="L2387" s="16" t="str">
        <f>HYPERLINK("https://maps.google.com/?q=17.38272309,-96.5004871", "🔗 Ver Mapa")</f>
        <v>🔗 Ver Mapa</v>
      </c>
    </row>
    <row r="2388" spans="1:12" ht="43.5" x14ac:dyDescent="0.35">
      <c r="A2388" s="6" t="s">
        <v>4</v>
      </c>
      <c r="B2388" s="6" t="s">
        <v>17</v>
      </c>
      <c r="C2388" s="6" t="s">
        <v>1334</v>
      </c>
      <c r="D2388" s="11" t="s">
        <v>64</v>
      </c>
      <c r="E2388" s="17" t="s">
        <v>78</v>
      </c>
      <c r="F2388" s="17" t="s">
        <v>399</v>
      </c>
      <c r="G2388" s="11" t="s">
        <v>1335</v>
      </c>
      <c r="H2388" s="11" t="s">
        <v>1336</v>
      </c>
      <c r="I2388" s="17" t="s">
        <v>296</v>
      </c>
      <c r="J2388" s="17">
        <v>17.383086550000002</v>
      </c>
      <c r="K2388" s="17">
        <v>-96.500660879999998</v>
      </c>
      <c r="L2388" s="17" t="str">
        <f>HYPERLINK("https://maps.google.com/?q=17.38308655,-96.50066088", "🔗 Ver Mapa")</f>
        <v>🔗 Ver Mapa</v>
      </c>
    </row>
    <row r="2389" spans="1:12" ht="43.5" x14ac:dyDescent="0.35">
      <c r="A2389" s="5" t="s">
        <v>4</v>
      </c>
      <c r="B2389" s="5" t="s">
        <v>17</v>
      </c>
      <c r="C2389" s="5" t="s">
        <v>1334</v>
      </c>
      <c r="D2389" s="8" t="s">
        <v>64</v>
      </c>
      <c r="E2389" s="16" t="s">
        <v>78</v>
      </c>
      <c r="F2389" s="16" t="s">
        <v>399</v>
      </c>
      <c r="G2389" s="8" t="s">
        <v>1335</v>
      </c>
      <c r="H2389" s="8" t="s">
        <v>1336</v>
      </c>
      <c r="I2389" s="16" t="s">
        <v>296</v>
      </c>
      <c r="J2389" s="16">
        <v>17.383293070000001</v>
      </c>
      <c r="K2389" s="16">
        <v>-96.500564010000005</v>
      </c>
      <c r="L2389" s="16" t="str">
        <f>HYPERLINK("https://maps.google.com/?q=17.38329307,-96.50056401", "🔗 Ver Mapa")</f>
        <v>🔗 Ver Mapa</v>
      </c>
    </row>
    <row r="2390" spans="1:12" ht="58" x14ac:dyDescent="0.35">
      <c r="A2390" s="6" t="s">
        <v>1</v>
      </c>
      <c r="B2390" s="6" t="s">
        <v>14</v>
      </c>
      <c r="C2390" s="6" t="s">
        <v>1337</v>
      </c>
      <c r="D2390" s="11" t="s">
        <v>61</v>
      </c>
      <c r="E2390" s="17" t="s">
        <v>73</v>
      </c>
      <c r="F2390" s="17" t="s">
        <v>83</v>
      </c>
      <c r="G2390" s="11" t="s">
        <v>890</v>
      </c>
      <c r="H2390" s="11" t="s">
        <v>1338</v>
      </c>
      <c r="I2390" s="17" t="s">
        <v>138</v>
      </c>
      <c r="J2390" s="17">
        <v>17.162951740442001</v>
      </c>
      <c r="K2390" s="17">
        <v>-97.587723850432994</v>
      </c>
      <c r="L2390" s="17" t="str">
        <f>HYPERLINK("https://maps.google.com/?q=17.162951740442,-97.587723850433", "🔗 Ver Mapa")</f>
        <v>🔗 Ver Mapa</v>
      </c>
    </row>
    <row r="2391" spans="1:12" ht="43.5" x14ac:dyDescent="0.35">
      <c r="A2391" s="5" t="s">
        <v>7</v>
      </c>
      <c r="B2391" s="5" t="s">
        <v>20</v>
      </c>
      <c r="C2391" s="5" t="s">
        <v>1339</v>
      </c>
      <c r="D2391" s="8" t="s">
        <v>67</v>
      </c>
      <c r="E2391" s="16" t="s">
        <v>75</v>
      </c>
      <c r="F2391" s="16" t="s">
        <v>86</v>
      </c>
      <c r="G2391" s="8" t="s">
        <v>103</v>
      </c>
      <c r="H2391" s="8" t="s">
        <v>125</v>
      </c>
      <c r="I2391" s="16" t="s">
        <v>138</v>
      </c>
      <c r="J2391" s="16">
        <v>17.132085</v>
      </c>
      <c r="K2391" s="16">
        <v>-96.763437999999994</v>
      </c>
      <c r="L2391" s="16" t="str">
        <f>HYPERLINK("https://maps.google.com/?q=17.132085,-96.763438", "🔗 Ver Mapa")</f>
        <v>🔗 Ver Mapa</v>
      </c>
    </row>
    <row r="2392" spans="1:12" ht="43.5" x14ac:dyDescent="0.35">
      <c r="A2392" s="6" t="s">
        <v>4</v>
      </c>
      <c r="B2392" s="6" t="s">
        <v>17</v>
      </c>
      <c r="C2392" s="6" t="s">
        <v>1340</v>
      </c>
      <c r="D2392" s="11" t="s">
        <v>64</v>
      </c>
      <c r="E2392" s="17" t="s">
        <v>79</v>
      </c>
      <c r="F2392" s="17" t="s">
        <v>195</v>
      </c>
      <c r="G2392" s="11" t="s">
        <v>1341</v>
      </c>
      <c r="H2392" s="11" t="s">
        <v>1342</v>
      </c>
      <c r="I2392" s="17" t="s">
        <v>296</v>
      </c>
      <c r="J2392" s="17">
        <v>16.23197</v>
      </c>
      <c r="K2392" s="17">
        <v>-96.340131999999997</v>
      </c>
      <c r="L2392" s="17" t="str">
        <f>HYPERLINK("https://maps.google.com/?q=16.23197,-96.340132", "🔗 Ver Mapa")</f>
        <v>🔗 Ver Mapa</v>
      </c>
    </row>
    <row r="2393" spans="1:12" ht="43.5" x14ac:dyDescent="0.35">
      <c r="A2393" s="5" t="s">
        <v>4</v>
      </c>
      <c r="B2393" s="5" t="s">
        <v>17</v>
      </c>
      <c r="C2393" s="5" t="s">
        <v>1340</v>
      </c>
      <c r="D2393" s="8" t="s">
        <v>64</v>
      </c>
      <c r="E2393" s="16" t="s">
        <v>79</v>
      </c>
      <c r="F2393" s="16" t="s">
        <v>195</v>
      </c>
      <c r="G2393" s="8" t="s">
        <v>1341</v>
      </c>
      <c r="H2393" s="8" t="s">
        <v>1342</v>
      </c>
      <c r="I2393" s="16" t="s">
        <v>296</v>
      </c>
      <c r="J2393" s="16">
        <v>16.232044999999999</v>
      </c>
      <c r="K2393" s="16">
        <v>-96.340283999999997</v>
      </c>
      <c r="L2393" s="16" t="str">
        <f>HYPERLINK("https://maps.google.com/?q=16.232045,-96.340284", "🔗 Ver Mapa")</f>
        <v>🔗 Ver Mapa</v>
      </c>
    </row>
    <row r="2394" spans="1:12" ht="43.5" x14ac:dyDescent="0.35">
      <c r="A2394" s="6" t="s">
        <v>4</v>
      </c>
      <c r="B2394" s="6" t="s">
        <v>17</v>
      </c>
      <c r="C2394" s="6" t="s">
        <v>1340</v>
      </c>
      <c r="D2394" s="11" t="s">
        <v>64</v>
      </c>
      <c r="E2394" s="17" t="s">
        <v>79</v>
      </c>
      <c r="F2394" s="17" t="s">
        <v>195</v>
      </c>
      <c r="G2394" s="11" t="s">
        <v>1341</v>
      </c>
      <c r="H2394" s="11" t="s">
        <v>1342</v>
      </c>
      <c r="I2394" s="17" t="s">
        <v>296</v>
      </c>
      <c r="J2394" s="17">
        <v>16.232316999999998</v>
      </c>
      <c r="K2394" s="17">
        <v>-96.340418</v>
      </c>
      <c r="L2394" s="17" t="str">
        <f>HYPERLINK("https://maps.google.com/?q=16.232317,-96.340418", "🔗 Ver Mapa")</f>
        <v>🔗 Ver Mapa</v>
      </c>
    </row>
    <row r="2395" spans="1:12" ht="43.5" x14ac:dyDescent="0.35">
      <c r="A2395" s="5" t="s">
        <v>4</v>
      </c>
      <c r="B2395" s="5" t="s">
        <v>17</v>
      </c>
      <c r="C2395" s="5" t="s">
        <v>1340</v>
      </c>
      <c r="D2395" s="8" t="s">
        <v>64</v>
      </c>
      <c r="E2395" s="16" t="s">
        <v>79</v>
      </c>
      <c r="F2395" s="16" t="s">
        <v>195</v>
      </c>
      <c r="G2395" s="8" t="s">
        <v>1341</v>
      </c>
      <c r="H2395" s="8" t="s">
        <v>1342</v>
      </c>
      <c r="I2395" s="16" t="s">
        <v>296</v>
      </c>
      <c r="J2395" s="16">
        <v>16.232800000000001</v>
      </c>
      <c r="K2395" s="16">
        <v>-96.340570999999997</v>
      </c>
      <c r="L2395" s="16" t="str">
        <f>HYPERLINK("https://maps.google.com/?q=16.2328,-96.340571", "🔗 Ver Mapa")</f>
        <v>🔗 Ver Mapa</v>
      </c>
    </row>
    <row r="2396" spans="1:12" ht="43.5" x14ac:dyDescent="0.35">
      <c r="A2396" s="6" t="s">
        <v>4</v>
      </c>
      <c r="B2396" s="6" t="s">
        <v>17</v>
      </c>
      <c r="C2396" s="6" t="s">
        <v>1340</v>
      </c>
      <c r="D2396" s="11" t="s">
        <v>64</v>
      </c>
      <c r="E2396" s="17" t="s">
        <v>79</v>
      </c>
      <c r="F2396" s="17" t="s">
        <v>195</v>
      </c>
      <c r="G2396" s="11" t="s">
        <v>1341</v>
      </c>
      <c r="H2396" s="11" t="s">
        <v>1342</v>
      </c>
      <c r="I2396" s="17" t="s">
        <v>296</v>
      </c>
      <c r="J2396" s="17">
        <v>16.245336000000002</v>
      </c>
      <c r="K2396" s="17">
        <v>-96.346217999999993</v>
      </c>
      <c r="L2396" s="17" t="str">
        <f>HYPERLINK("https://maps.google.com/?q=16.245336,-96.346218", "🔗 Ver Mapa")</f>
        <v>🔗 Ver Mapa</v>
      </c>
    </row>
    <row r="2397" spans="1:12" ht="43.5" x14ac:dyDescent="0.35">
      <c r="A2397" s="5" t="s">
        <v>4</v>
      </c>
      <c r="B2397" s="5" t="s">
        <v>17</v>
      </c>
      <c r="C2397" s="5" t="s">
        <v>1340</v>
      </c>
      <c r="D2397" s="8" t="s">
        <v>64</v>
      </c>
      <c r="E2397" s="16" t="s">
        <v>79</v>
      </c>
      <c r="F2397" s="16" t="s">
        <v>195</v>
      </c>
      <c r="G2397" s="8" t="s">
        <v>1341</v>
      </c>
      <c r="H2397" s="8" t="s">
        <v>1342</v>
      </c>
      <c r="I2397" s="16" t="s">
        <v>296</v>
      </c>
      <c r="J2397" s="16">
        <v>16.246081</v>
      </c>
      <c r="K2397" s="16">
        <v>-96.346226999999999</v>
      </c>
      <c r="L2397" s="16" t="str">
        <f>HYPERLINK("https://maps.google.com/?q=16.246081,-96.346227", "🔗 Ver Mapa")</f>
        <v>🔗 Ver Mapa</v>
      </c>
    </row>
    <row r="2398" spans="1:12" ht="43.5" x14ac:dyDescent="0.35">
      <c r="A2398" s="6" t="s">
        <v>4</v>
      </c>
      <c r="B2398" s="6" t="s">
        <v>17</v>
      </c>
      <c r="C2398" s="6" t="s">
        <v>1340</v>
      </c>
      <c r="D2398" s="11" t="s">
        <v>64</v>
      </c>
      <c r="E2398" s="17" t="s">
        <v>79</v>
      </c>
      <c r="F2398" s="17" t="s">
        <v>195</v>
      </c>
      <c r="G2398" s="11" t="s">
        <v>1341</v>
      </c>
      <c r="H2398" s="11" t="s">
        <v>1342</v>
      </c>
      <c r="I2398" s="17" t="s">
        <v>296</v>
      </c>
      <c r="J2398" s="17">
        <v>16.246911000000001</v>
      </c>
      <c r="K2398" s="17">
        <v>-96.346035999999998</v>
      </c>
      <c r="L2398" s="17" t="str">
        <f>HYPERLINK("https://maps.google.com/?q=16.246911,-96.346036", "🔗 Ver Mapa")</f>
        <v>🔗 Ver Mapa</v>
      </c>
    </row>
    <row r="2399" spans="1:12" ht="43.5" x14ac:dyDescent="0.35">
      <c r="A2399" s="5" t="s">
        <v>4</v>
      </c>
      <c r="B2399" s="5" t="s">
        <v>17</v>
      </c>
      <c r="C2399" s="5" t="s">
        <v>1340</v>
      </c>
      <c r="D2399" s="8" t="s">
        <v>64</v>
      </c>
      <c r="E2399" s="16" t="s">
        <v>79</v>
      </c>
      <c r="F2399" s="16" t="s">
        <v>195</v>
      </c>
      <c r="G2399" s="8" t="s">
        <v>1341</v>
      </c>
      <c r="H2399" s="8" t="s">
        <v>1342</v>
      </c>
      <c r="I2399" s="16" t="s">
        <v>296</v>
      </c>
      <c r="J2399" s="16">
        <v>16.247176</v>
      </c>
      <c r="K2399" s="16">
        <v>-96.346081999999996</v>
      </c>
      <c r="L2399" s="16" t="str">
        <f>HYPERLINK("https://maps.google.com/?q=16.247176,-96.346082", "🔗 Ver Mapa")</f>
        <v>🔗 Ver Mapa</v>
      </c>
    </row>
    <row r="2400" spans="1:12" ht="43.5" x14ac:dyDescent="0.35">
      <c r="A2400" s="6" t="s">
        <v>4</v>
      </c>
      <c r="B2400" s="6" t="s">
        <v>17</v>
      </c>
      <c r="C2400" s="6" t="s">
        <v>1340</v>
      </c>
      <c r="D2400" s="11" t="s">
        <v>64</v>
      </c>
      <c r="E2400" s="17" t="s">
        <v>79</v>
      </c>
      <c r="F2400" s="17" t="s">
        <v>195</v>
      </c>
      <c r="G2400" s="11" t="s">
        <v>1341</v>
      </c>
      <c r="H2400" s="11" t="s">
        <v>1342</v>
      </c>
      <c r="I2400" s="17" t="s">
        <v>296</v>
      </c>
      <c r="J2400" s="17">
        <v>16.247361999999999</v>
      </c>
      <c r="K2400" s="17">
        <v>-96.346033000000006</v>
      </c>
      <c r="L2400" s="17" t="str">
        <f>HYPERLINK("https://maps.google.com/?q=16.247362,-96.346033", "🔗 Ver Mapa")</f>
        <v>🔗 Ver Mapa</v>
      </c>
    </row>
    <row r="2401" spans="1:12" ht="43.5" x14ac:dyDescent="0.35">
      <c r="A2401" s="5" t="s">
        <v>4</v>
      </c>
      <c r="B2401" s="5" t="s">
        <v>17</v>
      </c>
      <c r="C2401" s="5" t="s">
        <v>1340</v>
      </c>
      <c r="D2401" s="8" t="s">
        <v>64</v>
      </c>
      <c r="E2401" s="16" t="s">
        <v>79</v>
      </c>
      <c r="F2401" s="16" t="s">
        <v>195</v>
      </c>
      <c r="G2401" s="8" t="s">
        <v>1341</v>
      </c>
      <c r="H2401" s="8" t="s">
        <v>1342</v>
      </c>
      <c r="I2401" s="16" t="s">
        <v>296</v>
      </c>
      <c r="J2401" s="16">
        <v>16.248265</v>
      </c>
      <c r="K2401" s="16">
        <v>-96.346102999999999</v>
      </c>
      <c r="L2401" s="16" t="str">
        <f>HYPERLINK("https://maps.google.com/?q=16.248265,-96.346103", "🔗 Ver Mapa")</f>
        <v>🔗 Ver Mapa</v>
      </c>
    </row>
    <row r="2402" spans="1:12" ht="43.5" x14ac:dyDescent="0.35">
      <c r="A2402" s="6" t="s">
        <v>4</v>
      </c>
      <c r="B2402" s="6" t="s">
        <v>17</v>
      </c>
      <c r="C2402" s="6" t="s">
        <v>1340</v>
      </c>
      <c r="D2402" s="11" t="s">
        <v>64</v>
      </c>
      <c r="E2402" s="17" t="s">
        <v>79</v>
      </c>
      <c r="F2402" s="17" t="s">
        <v>195</v>
      </c>
      <c r="G2402" s="11" t="s">
        <v>1341</v>
      </c>
      <c r="H2402" s="11" t="s">
        <v>1342</v>
      </c>
      <c r="I2402" s="17" t="s">
        <v>296</v>
      </c>
      <c r="J2402" s="17">
        <v>16.248431</v>
      </c>
      <c r="K2402" s="17">
        <v>-96.346182999999996</v>
      </c>
      <c r="L2402" s="17" t="str">
        <f>HYPERLINK("https://maps.google.com/?q=16.248431,-96.346183", "🔗 Ver Mapa")</f>
        <v>🔗 Ver Mapa</v>
      </c>
    </row>
    <row r="2403" spans="1:12" ht="43.5" x14ac:dyDescent="0.35">
      <c r="A2403" s="5" t="s">
        <v>4</v>
      </c>
      <c r="B2403" s="5" t="s">
        <v>17</v>
      </c>
      <c r="C2403" s="5" t="s">
        <v>1340</v>
      </c>
      <c r="D2403" s="8" t="s">
        <v>64</v>
      </c>
      <c r="E2403" s="16" t="s">
        <v>79</v>
      </c>
      <c r="F2403" s="16" t="s">
        <v>195</v>
      </c>
      <c r="G2403" s="8" t="s">
        <v>1341</v>
      </c>
      <c r="H2403" s="8" t="s">
        <v>1342</v>
      </c>
      <c r="I2403" s="16" t="s">
        <v>296</v>
      </c>
      <c r="J2403" s="16">
        <v>16.248574000000001</v>
      </c>
      <c r="K2403" s="16">
        <v>-96.339592999999994</v>
      </c>
      <c r="L2403" s="16" t="str">
        <f>HYPERLINK("https://maps.google.com/?q=16.248574,-96.339593", "🔗 Ver Mapa")</f>
        <v>🔗 Ver Mapa</v>
      </c>
    </row>
    <row r="2404" spans="1:12" ht="43.5" x14ac:dyDescent="0.35">
      <c r="A2404" s="6" t="s">
        <v>4</v>
      </c>
      <c r="B2404" s="6" t="s">
        <v>17</v>
      </c>
      <c r="C2404" s="6" t="s">
        <v>1340</v>
      </c>
      <c r="D2404" s="11" t="s">
        <v>64</v>
      </c>
      <c r="E2404" s="17" t="s">
        <v>79</v>
      </c>
      <c r="F2404" s="17" t="s">
        <v>195</v>
      </c>
      <c r="G2404" s="11" t="s">
        <v>1341</v>
      </c>
      <c r="H2404" s="11" t="s">
        <v>1342</v>
      </c>
      <c r="I2404" s="17" t="s">
        <v>296</v>
      </c>
      <c r="J2404" s="17">
        <v>16.248587000000001</v>
      </c>
      <c r="K2404" s="17">
        <v>-96.339505000000003</v>
      </c>
      <c r="L2404" s="17" t="str">
        <f>HYPERLINK("https://maps.google.com/?q=16.248587,-96.339505", "🔗 Ver Mapa")</f>
        <v>🔗 Ver Mapa</v>
      </c>
    </row>
    <row r="2405" spans="1:12" ht="43.5" x14ac:dyDescent="0.35">
      <c r="A2405" s="5" t="s">
        <v>4</v>
      </c>
      <c r="B2405" s="5" t="s">
        <v>17</v>
      </c>
      <c r="C2405" s="5" t="s">
        <v>1340</v>
      </c>
      <c r="D2405" s="8" t="s">
        <v>64</v>
      </c>
      <c r="E2405" s="16" t="s">
        <v>79</v>
      </c>
      <c r="F2405" s="16" t="s">
        <v>195</v>
      </c>
      <c r="G2405" s="8" t="s">
        <v>1341</v>
      </c>
      <c r="H2405" s="8" t="s">
        <v>1342</v>
      </c>
      <c r="I2405" s="16" t="s">
        <v>296</v>
      </c>
      <c r="J2405" s="16">
        <v>16.248636999999999</v>
      </c>
      <c r="K2405" s="16">
        <v>-96.346198999999999</v>
      </c>
      <c r="L2405" s="16" t="str">
        <f>HYPERLINK("https://maps.google.com/?q=16.248637,-96.346199", "🔗 Ver Mapa")</f>
        <v>🔗 Ver Mapa</v>
      </c>
    </row>
    <row r="2406" spans="1:12" ht="43.5" x14ac:dyDescent="0.35">
      <c r="A2406" s="6" t="s">
        <v>4</v>
      </c>
      <c r="B2406" s="6" t="s">
        <v>17</v>
      </c>
      <c r="C2406" s="6" t="s">
        <v>1340</v>
      </c>
      <c r="D2406" s="11" t="s">
        <v>64</v>
      </c>
      <c r="E2406" s="17" t="s">
        <v>79</v>
      </c>
      <c r="F2406" s="17" t="s">
        <v>195</v>
      </c>
      <c r="G2406" s="11" t="s">
        <v>1341</v>
      </c>
      <c r="H2406" s="11" t="s">
        <v>1342</v>
      </c>
      <c r="I2406" s="17" t="s">
        <v>296</v>
      </c>
      <c r="J2406" s="17">
        <v>16.248749</v>
      </c>
      <c r="K2406" s="17">
        <v>-96.339484999999996</v>
      </c>
      <c r="L2406" s="17" t="str">
        <f>HYPERLINK("https://maps.google.com/?q=16.248749,-96.339485", "🔗 Ver Mapa")</f>
        <v>🔗 Ver Mapa</v>
      </c>
    </row>
    <row r="2407" spans="1:12" ht="43.5" x14ac:dyDescent="0.35">
      <c r="A2407" s="5" t="s">
        <v>4</v>
      </c>
      <c r="B2407" s="5" t="s">
        <v>17</v>
      </c>
      <c r="C2407" s="5" t="s">
        <v>1340</v>
      </c>
      <c r="D2407" s="8" t="s">
        <v>64</v>
      </c>
      <c r="E2407" s="16" t="s">
        <v>79</v>
      </c>
      <c r="F2407" s="16" t="s">
        <v>195</v>
      </c>
      <c r="G2407" s="8" t="s">
        <v>1341</v>
      </c>
      <c r="H2407" s="8" t="s">
        <v>1342</v>
      </c>
      <c r="I2407" s="16" t="s">
        <v>296</v>
      </c>
      <c r="J2407" s="16">
        <v>16.248791000000001</v>
      </c>
      <c r="K2407" s="16">
        <v>-96.346277999999998</v>
      </c>
      <c r="L2407" s="16" t="str">
        <f>HYPERLINK("https://maps.google.com/?q=16.248791,-96.346278", "🔗 Ver Mapa")</f>
        <v>🔗 Ver Mapa</v>
      </c>
    </row>
    <row r="2408" spans="1:12" ht="43.5" x14ac:dyDescent="0.35">
      <c r="A2408" s="6" t="s">
        <v>4</v>
      </c>
      <c r="B2408" s="6" t="s">
        <v>17</v>
      </c>
      <c r="C2408" s="6" t="s">
        <v>1340</v>
      </c>
      <c r="D2408" s="11" t="s">
        <v>64</v>
      </c>
      <c r="E2408" s="17" t="s">
        <v>79</v>
      </c>
      <c r="F2408" s="17" t="s">
        <v>195</v>
      </c>
      <c r="G2408" s="11" t="s">
        <v>1341</v>
      </c>
      <c r="H2408" s="11" t="s">
        <v>1342</v>
      </c>
      <c r="I2408" s="17" t="s">
        <v>296</v>
      </c>
      <c r="J2408" s="17">
        <v>16.248857999999998</v>
      </c>
      <c r="K2408" s="17">
        <v>-96.339904000000004</v>
      </c>
      <c r="L2408" s="17" t="str">
        <f>HYPERLINK("https://maps.google.com/?q=16.248858,-96.339904", "🔗 Ver Mapa")</f>
        <v>🔗 Ver Mapa</v>
      </c>
    </row>
    <row r="2409" spans="1:12" ht="43.5" x14ac:dyDescent="0.35">
      <c r="A2409" s="5" t="s">
        <v>4</v>
      </c>
      <c r="B2409" s="5" t="s">
        <v>17</v>
      </c>
      <c r="C2409" s="5" t="s">
        <v>1340</v>
      </c>
      <c r="D2409" s="8" t="s">
        <v>64</v>
      </c>
      <c r="E2409" s="16" t="s">
        <v>79</v>
      </c>
      <c r="F2409" s="16" t="s">
        <v>195</v>
      </c>
      <c r="G2409" s="8" t="s">
        <v>1341</v>
      </c>
      <c r="H2409" s="8" t="s">
        <v>1342</v>
      </c>
      <c r="I2409" s="16" t="s">
        <v>296</v>
      </c>
      <c r="J2409" s="16">
        <v>16.248878000000001</v>
      </c>
      <c r="K2409" s="16">
        <v>-96.340014999999994</v>
      </c>
      <c r="L2409" s="16" t="str">
        <f>HYPERLINK("https://maps.google.com/?q=16.248878,-96.340015", "🔗 Ver Mapa")</f>
        <v>🔗 Ver Mapa</v>
      </c>
    </row>
    <row r="2410" spans="1:12" ht="43.5" x14ac:dyDescent="0.35">
      <c r="A2410" s="6" t="s">
        <v>4</v>
      </c>
      <c r="B2410" s="6" t="s">
        <v>17</v>
      </c>
      <c r="C2410" s="6" t="s">
        <v>1340</v>
      </c>
      <c r="D2410" s="11" t="s">
        <v>64</v>
      </c>
      <c r="E2410" s="17" t="s">
        <v>79</v>
      </c>
      <c r="F2410" s="17" t="s">
        <v>195</v>
      </c>
      <c r="G2410" s="11" t="s">
        <v>1341</v>
      </c>
      <c r="H2410" s="11" t="s">
        <v>1342</v>
      </c>
      <c r="I2410" s="17" t="s">
        <v>296</v>
      </c>
      <c r="J2410" s="17">
        <v>16.248933999999998</v>
      </c>
      <c r="K2410" s="17">
        <v>-96.346219000000005</v>
      </c>
      <c r="L2410" s="17" t="str">
        <f>HYPERLINK("https://maps.google.com/?q=16.248934,-96.346219", "🔗 Ver Mapa")</f>
        <v>🔗 Ver Mapa</v>
      </c>
    </row>
    <row r="2411" spans="1:12" ht="43.5" x14ac:dyDescent="0.35">
      <c r="A2411" s="5" t="s">
        <v>4</v>
      </c>
      <c r="B2411" s="5" t="s">
        <v>17</v>
      </c>
      <c r="C2411" s="5" t="s">
        <v>1340</v>
      </c>
      <c r="D2411" s="8" t="s">
        <v>64</v>
      </c>
      <c r="E2411" s="16" t="s">
        <v>79</v>
      </c>
      <c r="F2411" s="16" t="s">
        <v>195</v>
      </c>
      <c r="G2411" s="8" t="s">
        <v>1341</v>
      </c>
      <c r="H2411" s="8" t="s">
        <v>1342</v>
      </c>
      <c r="I2411" s="16" t="s">
        <v>296</v>
      </c>
      <c r="J2411" s="16">
        <v>16.249015</v>
      </c>
      <c r="K2411" s="16">
        <v>-96.340303000000006</v>
      </c>
      <c r="L2411" s="16" t="str">
        <f>HYPERLINK("https://maps.google.com/?q=16.249015,-96.340303", "🔗 Ver Mapa")</f>
        <v>🔗 Ver Mapa</v>
      </c>
    </row>
    <row r="2412" spans="1:12" ht="43.5" x14ac:dyDescent="0.35">
      <c r="A2412" s="6" t="s">
        <v>4</v>
      </c>
      <c r="B2412" s="6" t="s">
        <v>17</v>
      </c>
      <c r="C2412" s="6" t="s">
        <v>1340</v>
      </c>
      <c r="D2412" s="11" t="s">
        <v>64</v>
      </c>
      <c r="E2412" s="17" t="s">
        <v>79</v>
      </c>
      <c r="F2412" s="17" t="s">
        <v>195</v>
      </c>
      <c r="G2412" s="11" t="s">
        <v>1341</v>
      </c>
      <c r="H2412" s="11" t="s">
        <v>1342</v>
      </c>
      <c r="I2412" s="17" t="s">
        <v>296</v>
      </c>
      <c r="J2412" s="17">
        <v>16.249071000000001</v>
      </c>
      <c r="K2412" s="17">
        <v>-96.340151000000006</v>
      </c>
      <c r="L2412" s="17" t="str">
        <f>HYPERLINK("https://maps.google.com/?q=16.249071,-96.340151", "🔗 Ver Mapa")</f>
        <v>🔗 Ver Mapa</v>
      </c>
    </row>
    <row r="2413" spans="1:12" ht="43.5" x14ac:dyDescent="0.35">
      <c r="A2413" s="5" t="s">
        <v>4</v>
      </c>
      <c r="B2413" s="5" t="s">
        <v>17</v>
      </c>
      <c r="C2413" s="5" t="s">
        <v>1340</v>
      </c>
      <c r="D2413" s="8" t="s">
        <v>64</v>
      </c>
      <c r="E2413" s="16" t="s">
        <v>79</v>
      </c>
      <c r="F2413" s="16" t="s">
        <v>195</v>
      </c>
      <c r="G2413" s="8" t="s">
        <v>1341</v>
      </c>
      <c r="H2413" s="8" t="s">
        <v>1342</v>
      </c>
      <c r="I2413" s="16" t="s">
        <v>296</v>
      </c>
      <c r="J2413" s="16">
        <v>16.249230000000001</v>
      </c>
      <c r="K2413" s="16">
        <v>-96.342388</v>
      </c>
      <c r="L2413" s="16" t="str">
        <f>HYPERLINK("https://maps.google.com/?q=16.24923,-96.342388", "🔗 Ver Mapa")</f>
        <v>🔗 Ver Mapa</v>
      </c>
    </row>
    <row r="2414" spans="1:12" ht="43.5" x14ac:dyDescent="0.35">
      <c r="A2414" s="6" t="s">
        <v>4</v>
      </c>
      <c r="B2414" s="6" t="s">
        <v>17</v>
      </c>
      <c r="C2414" s="6" t="s">
        <v>1340</v>
      </c>
      <c r="D2414" s="11" t="s">
        <v>64</v>
      </c>
      <c r="E2414" s="17" t="s">
        <v>79</v>
      </c>
      <c r="F2414" s="17" t="s">
        <v>195</v>
      </c>
      <c r="G2414" s="11" t="s">
        <v>1341</v>
      </c>
      <c r="H2414" s="11" t="s">
        <v>1342</v>
      </c>
      <c r="I2414" s="17" t="s">
        <v>296</v>
      </c>
      <c r="J2414" s="17">
        <v>16.249261000000001</v>
      </c>
      <c r="K2414" s="17">
        <v>-96.345988000000006</v>
      </c>
      <c r="L2414" s="17" t="str">
        <f>HYPERLINK("https://maps.google.com/?q=16.249261,-96.345988", "🔗 Ver Mapa")</f>
        <v>🔗 Ver Mapa</v>
      </c>
    </row>
    <row r="2415" spans="1:12" ht="43.5" x14ac:dyDescent="0.35">
      <c r="A2415" s="5" t="s">
        <v>4</v>
      </c>
      <c r="B2415" s="5" t="s">
        <v>17</v>
      </c>
      <c r="C2415" s="5" t="s">
        <v>1340</v>
      </c>
      <c r="D2415" s="8" t="s">
        <v>64</v>
      </c>
      <c r="E2415" s="16" t="s">
        <v>79</v>
      </c>
      <c r="F2415" s="16" t="s">
        <v>195</v>
      </c>
      <c r="G2415" s="8" t="s">
        <v>1341</v>
      </c>
      <c r="H2415" s="8" t="s">
        <v>1342</v>
      </c>
      <c r="I2415" s="16" t="s">
        <v>296</v>
      </c>
      <c r="J2415" s="16">
        <v>16.249282999999998</v>
      </c>
      <c r="K2415" s="16">
        <v>-96.342269000000002</v>
      </c>
      <c r="L2415" s="16" t="str">
        <f>HYPERLINK("https://maps.google.com/?q=16.249283,-96.342269", "🔗 Ver Mapa")</f>
        <v>🔗 Ver Mapa</v>
      </c>
    </row>
    <row r="2416" spans="1:12" ht="43.5" x14ac:dyDescent="0.35">
      <c r="A2416" s="6" t="s">
        <v>4</v>
      </c>
      <c r="B2416" s="6" t="s">
        <v>17</v>
      </c>
      <c r="C2416" s="6" t="s">
        <v>1340</v>
      </c>
      <c r="D2416" s="11" t="s">
        <v>64</v>
      </c>
      <c r="E2416" s="17" t="s">
        <v>79</v>
      </c>
      <c r="F2416" s="17" t="s">
        <v>195</v>
      </c>
      <c r="G2416" s="11" t="s">
        <v>1341</v>
      </c>
      <c r="H2416" s="11" t="s">
        <v>1342</v>
      </c>
      <c r="I2416" s="17" t="s">
        <v>296</v>
      </c>
      <c r="J2416" s="17">
        <v>16.249338000000002</v>
      </c>
      <c r="K2416" s="17">
        <v>-96.345822999999996</v>
      </c>
      <c r="L2416" s="17" t="str">
        <f>HYPERLINK("https://maps.google.com/?q=16.249338,-96.345823", "🔗 Ver Mapa")</f>
        <v>🔗 Ver Mapa</v>
      </c>
    </row>
    <row r="2417" spans="1:12" ht="43.5" x14ac:dyDescent="0.35">
      <c r="A2417" s="5" t="s">
        <v>4</v>
      </c>
      <c r="B2417" s="5" t="s">
        <v>17</v>
      </c>
      <c r="C2417" s="5" t="s">
        <v>1340</v>
      </c>
      <c r="D2417" s="8" t="s">
        <v>64</v>
      </c>
      <c r="E2417" s="16" t="s">
        <v>79</v>
      </c>
      <c r="F2417" s="16" t="s">
        <v>195</v>
      </c>
      <c r="G2417" s="8" t="s">
        <v>1341</v>
      </c>
      <c r="H2417" s="8" t="s">
        <v>1342</v>
      </c>
      <c r="I2417" s="16" t="s">
        <v>296</v>
      </c>
      <c r="J2417" s="16">
        <v>16.249397999999999</v>
      </c>
      <c r="K2417" s="16">
        <v>-96.342661000000007</v>
      </c>
      <c r="L2417" s="16" t="str">
        <f>HYPERLINK("https://maps.google.com/?q=16.249398,-96.342661", "🔗 Ver Mapa")</f>
        <v>🔗 Ver Mapa</v>
      </c>
    </row>
    <row r="2418" spans="1:12" ht="43.5" x14ac:dyDescent="0.35">
      <c r="A2418" s="6" t="s">
        <v>4</v>
      </c>
      <c r="B2418" s="6" t="s">
        <v>17</v>
      </c>
      <c r="C2418" s="6" t="s">
        <v>1340</v>
      </c>
      <c r="D2418" s="11" t="s">
        <v>64</v>
      </c>
      <c r="E2418" s="17" t="s">
        <v>79</v>
      </c>
      <c r="F2418" s="17" t="s">
        <v>195</v>
      </c>
      <c r="G2418" s="11" t="s">
        <v>1341</v>
      </c>
      <c r="H2418" s="11" t="s">
        <v>1342</v>
      </c>
      <c r="I2418" s="17" t="s">
        <v>296</v>
      </c>
      <c r="J2418" s="17">
        <v>16.249407000000001</v>
      </c>
      <c r="K2418" s="17">
        <v>-96.339585</v>
      </c>
      <c r="L2418" s="17" t="str">
        <f>HYPERLINK("https://maps.google.com/?q=16.249407,-96.339585", "🔗 Ver Mapa")</f>
        <v>🔗 Ver Mapa</v>
      </c>
    </row>
    <row r="2419" spans="1:12" ht="43.5" x14ac:dyDescent="0.35">
      <c r="A2419" s="5" t="s">
        <v>4</v>
      </c>
      <c r="B2419" s="5" t="s">
        <v>17</v>
      </c>
      <c r="C2419" s="5" t="s">
        <v>1340</v>
      </c>
      <c r="D2419" s="8" t="s">
        <v>64</v>
      </c>
      <c r="E2419" s="16" t="s">
        <v>79</v>
      </c>
      <c r="F2419" s="16" t="s">
        <v>195</v>
      </c>
      <c r="G2419" s="8" t="s">
        <v>1341</v>
      </c>
      <c r="H2419" s="8" t="s">
        <v>1342</v>
      </c>
      <c r="I2419" s="16" t="s">
        <v>296</v>
      </c>
      <c r="J2419" s="16">
        <v>16.249428000000002</v>
      </c>
      <c r="K2419" s="16">
        <v>-96.340575000000001</v>
      </c>
      <c r="L2419" s="16" t="str">
        <f>HYPERLINK("https://maps.google.com/?q=16.249428,-96.340575", "🔗 Ver Mapa")</f>
        <v>🔗 Ver Mapa</v>
      </c>
    </row>
    <row r="2420" spans="1:12" ht="43.5" x14ac:dyDescent="0.35">
      <c r="A2420" s="6" t="s">
        <v>4</v>
      </c>
      <c r="B2420" s="6" t="s">
        <v>17</v>
      </c>
      <c r="C2420" s="6" t="s">
        <v>1340</v>
      </c>
      <c r="D2420" s="11" t="s">
        <v>64</v>
      </c>
      <c r="E2420" s="17" t="s">
        <v>79</v>
      </c>
      <c r="F2420" s="17" t="s">
        <v>195</v>
      </c>
      <c r="G2420" s="11" t="s">
        <v>1341</v>
      </c>
      <c r="H2420" s="11" t="s">
        <v>1342</v>
      </c>
      <c r="I2420" s="17" t="s">
        <v>296</v>
      </c>
      <c r="J2420" s="17">
        <v>16.249538000000001</v>
      </c>
      <c r="K2420" s="17">
        <v>-96.339575999999994</v>
      </c>
      <c r="L2420" s="17" t="str">
        <f>HYPERLINK("https://maps.google.com/?q=16.249538,-96.339576", "🔗 Ver Mapa")</f>
        <v>🔗 Ver Mapa</v>
      </c>
    </row>
    <row r="2421" spans="1:12" ht="43.5" x14ac:dyDescent="0.35">
      <c r="A2421" s="5" t="s">
        <v>4</v>
      </c>
      <c r="B2421" s="5" t="s">
        <v>17</v>
      </c>
      <c r="C2421" s="5" t="s">
        <v>1340</v>
      </c>
      <c r="D2421" s="8" t="s">
        <v>64</v>
      </c>
      <c r="E2421" s="16" t="s">
        <v>79</v>
      </c>
      <c r="F2421" s="16" t="s">
        <v>195</v>
      </c>
      <c r="G2421" s="8" t="s">
        <v>1341</v>
      </c>
      <c r="H2421" s="8" t="s">
        <v>1342</v>
      </c>
      <c r="I2421" s="16" t="s">
        <v>296</v>
      </c>
      <c r="J2421" s="16">
        <v>16.249552000000001</v>
      </c>
      <c r="K2421" s="16">
        <v>-96.342161000000004</v>
      </c>
      <c r="L2421" s="16" t="str">
        <f>HYPERLINK("https://maps.google.com/?q=16.249552,-96.342161", "🔗 Ver Mapa")</f>
        <v>🔗 Ver Mapa</v>
      </c>
    </row>
    <row r="2422" spans="1:12" ht="43.5" x14ac:dyDescent="0.35">
      <c r="A2422" s="6" t="s">
        <v>4</v>
      </c>
      <c r="B2422" s="6" t="s">
        <v>17</v>
      </c>
      <c r="C2422" s="6" t="s">
        <v>1340</v>
      </c>
      <c r="D2422" s="11" t="s">
        <v>64</v>
      </c>
      <c r="E2422" s="17" t="s">
        <v>79</v>
      </c>
      <c r="F2422" s="17" t="s">
        <v>195</v>
      </c>
      <c r="G2422" s="11" t="s">
        <v>1341</v>
      </c>
      <c r="H2422" s="11" t="s">
        <v>1342</v>
      </c>
      <c r="I2422" s="17" t="s">
        <v>296</v>
      </c>
      <c r="J2422" s="17">
        <v>16.249552999999999</v>
      </c>
      <c r="K2422" s="17">
        <v>-96.340885</v>
      </c>
      <c r="L2422" s="17" t="str">
        <f>HYPERLINK("https://maps.google.com/?q=16.249553,-96.340885", "🔗 Ver Mapa")</f>
        <v>🔗 Ver Mapa</v>
      </c>
    </row>
    <row r="2423" spans="1:12" ht="43.5" x14ac:dyDescent="0.35">
      <c r="A2423" s="5" t="s">
        <v>4</v>
      </c>
      <c r="B2423" s="5" t="s">
        <v>17</v>
      </c>
      <c r="C2423" s="5" t="s">
        <v>1340</v>
      </c>
      <c r="D2423" s="8" t="s">
        <v>64</v>
      </c>
      <c r="E2423" s="16" t="s">
        <v>79</v>
      </c>
      <c r="F2423" s="16" t="s">
        <v>195</v>
      </c>
      <c r="G2423" s="8" t="s">
        <v>1341</v>
      </c>
      <c r="H2423" s="8" t="s">
        <v>1342</v>
      </c>
      <c r="I2423" s="16" t="s">
        <v>296</v>
      </c>
      <c r="J2423" s="16">
        <v>16.249609</v>
      </c>
      <c r="K2423" s="16">
        <v>-96.339485999999994</v>
      </c>
      <c r="L2423" s="16" t="str">
        <f>HYPERLINK("https://maps.google.com/?q=16.249609,-96.339486", "🔗 Ver Mapa")</f>
        <v>🔗 Ver Mapa</v>
      </c>
    </row>
    <row r="2424" spans="1:12" ht="43.5" x14ac:dyDescent="0.35">
      <c r="A2424" s="6" t="s">
        <v>4</v>
      </c>
      <c r="B2424" s="6" t="s">
        <v>17</v>
      </c>
      <c r="C2424" s="6" t="s">
        <v>1340</v>
      </c>
      <c r="D2424" s="11" t="s">
        <v>64</v>
      </c>
      <c r="E2424" s="17" t="s">
        <v>79</v>
      </c>
      <c r="F2424" s="17" t="s">
        <v>195</v>
      </c>
      <c r="G2424" s="11" t="s">
        <v>1341</v>
      </c>
      <c r="H2424" s="11" t="s">
        <v>1342</v>
      </c>
      <c r="I2424" s="17" t="s">
        <v>296</v>
      </c>
      <c r="J2424" s="17">
        <v>16.249613</v>
      </c>
      <c r="K2424" s="17">
        <v>-96.342067</v>
      </c>
      <c r="L2424" s="17" t="str">
        <f>HYPERLINK("https://maps.google.com/?q=16.249613,-96.342067", "🔗 Ver Mapa")</f>
        <v>🔗 Ver Mapa</v>
      </c>
    </row>
    <row r="2425" spans="1:12" ht="43.5" x14ac:dyDescent="0.35">
      <c r="A2425" s="5" t="s">
        <v>4</v>
      </c>
      <c r="B2425" s="5" t="s">
        <v>17</v>
      </c>
      <c r="C2425" s="5" t="s">
        <v>1340</v>
      </c>
      <c r="D2425" s="8" t="s">
        <v>64</v>
      </c>
      <c r="E2425" s="16" t="s">
        <v>79</v>
      </c>
      <c r="F2425" s="16" t="s">
        <v>195</v>
      </c>
      <c r="G2425" s="8" t="s">
        <v>1341</v>
      </c>
      <c r="H2425" s="8" t="s">
        <v>1342</v>
      </c>
      <c r="I2425" s="16" t="s">
        <v>296</v>
      </c>
      <c r="J2425" s="16">
        <v>16.24962</v>
      </c>
      <c r="K2425" s="16">
        <v>-96.340945000000005</v>
      </c>
      <c r="L2425" s="16" t="str">
        <f>HYPERLINK("https://maps.google.com/?q=16.24962,-96.340945", "🔗 Ver Mapa")</f>
        <v>🔗 Ver Mapa</v>
      </c>
    </row>
    <row r="2426" spans="1:12" ht="43.5" x14ac:dyDescent="0.35">
      <c r="A2426" s="6" t="s">
        <v>4</v>
      </c>
      <c r="B2426" s="6" t="s">
        <v>17</v>
      </c>
      <c r="C2426" s="6" t="s">
        <v>1340</v>
      </c>
      <c r="D2426" s="11" t="s">
        <v>64</v>
      </c>
      <c r="E2426" s="17" t="s">
        <v>79</v>
      </c>
      <c r="F2426" s="17" t="s">
        <v>195</v>
      </c>
      <c r="G2426" s="11" t="s">
        <v>1341</v>
      </c>
      <c r="H2426" s="11" t="s">
        <v>1342</v>
      </c>
      <c r="I2426" s="17" t="s">
        <v>296</v>
      </c>
      <c r="J2426" s="17">
        <v>16.249652000000001</v>
      </c>
      <c r="K2426" s="17">
        <v>-96.341787999999994</v>
      </c>
      <c r="L2426" s="17" t="str">
        <f>HYPERLINK("https://maps.google.com/?q=16.249652,-96.341788", "🔗 Ver Mapa")</f>
        <v>🔗 Ver Mapa</v>
      </c>
    </row>
    <row r="2427" spans="1:12" ht="43.5" x14ac:dyDescent="0.35">
      <c r="A2427" s="5" t="s">
        <v>4</v>
      </c>
      <c r="B2427" s="5" t="s">
        <v>17</v>
      </c>
      <c r="C2427" s="5" t="s">
        <v>1340</v>
      </c>
      <c r="D2427" s="8" t="s">
        <v>64</v>
      </c>
      <c r="E2427" s="16" t="s">
        <v>79</v>
      </c>
      <c r="F2427" s="16" t="s">
        <v>195</v>
      </c>
      <c r="G2427" s="8" t="s">
        <v>1341</v>
      </c>
      <c r="H2427" s="8" t="s">
        <v>1342</v>
      </c>
      <c r="I2427" s="16" t="s">
        <v>296</v>
      </c>
      <c r="J2427" s="16">
        <v>16.24972</v>
      </c>
      <c r="K2427" s="16">
        <v>-96.342975999999993</v>
      </c>
      <c r="L2427" s="16" t="str">
        <f>HYPERLINK("https://maps.google.com/?q=16.24972,-96.342976", "🔗 Ver Mapa")</f>
        <v>🔗 Ver Mapa</v>
      </c>
    </row>
    <row r="2428" spans="1:12" ht="43.5" x14ac:dyDescent="0.35">
      <c r="A2428" s="6" t="s">
        <v>4</v>
      </c>
      <c r="B2428" s="6" t="s">
        <v>17</v>
      </c>
      <c r="C2428" s="6" t="s">
        <v>1340</v>
      </c>
      <c r="D2428" s="11" t="s">
        <v>64</v>
      </c>
      <c r="E2428" s="17" t="s">
        <v>79</v>
      </c>
      <c r="F2428" s="17" t="s">
        <v>195</v>
      </c>
      <c r="G2428" s="11" t="s">
        <v>1341</v>
      </c>
      <c r="H2428" s="11" t="s">
        <v>1342</v>
      </c>
      <c r="I2428" s="17" t="s">
        <v>296</v>
      </c>
      <c r="J2428" s="17">
        <v>16.249796</v>
      </c>
      <c r="K2428" s="17">
        <v>-96.339438000000001</v>
      </c>
      <c r="L2428" s="17" t="str">
        <f>HYPERLINK("https://maps.google.com/?q=16.249796,-96.339438", "🔗 Ver Mapa")</f>
        <v>🔗 Ver Mapa</v>
      </c>
    </row>
    <row r="2429" spans="1:12" ht="43.5" x14ac:dyDescent="0.35">
      <c r="A2429" s="5" t="s">
        <v>4</v>
      </c>
      <c r="B2429" s="5" t="s">
        <v>17</v>
      </c>
      <c r="C2429" s="5" t="s">
        <v>1340</v>
      </c>
      <c r="D2429" s="8" t="s">
        <v>64</v>
      </c>
      <c r="E2429" s="16" t="s">
        <v>79</v>
      </c>
      <c r="F2429" s="16" t="s">
        <v>195</v>
      </c>
      <c r="G2429" s="8" t="s">
        <v>1341</v>
      </c>
      <c r="H2429" s="8" t="s">
        <v>1342</v>
      </c>
      <c r="I2429" s="16" t="s">
        <v>296</v>
      </c>
      <c r="J2429" s="16">
        <v>16.249898999999999</v>
      </c>
      <c r="K2429" s="16">
        <v>-96.345730000000003</v>
      </c>
      <c r="L2429" s="16" t="str">
        <f>HYPERLINK("https://maps.google.com/?q=16.249899,-96.34573", "🔗 Ver Mapa")</f>
        <v>🔗 Ver Mapa</v>
      </c>
    </row>
    <row r="2430" spans="1:12" ht="43.5" x14ac:dyDescent="0.35">
      <c r="A2430" s="6" t="s">
        <v>4</v>
      </c>
      <c r="B2430" s="6" t="s">
        <v>17</v>
      </c>
      <c r="C2430" s="6" t="s">
        <v>1340</v>
      </c>
      <c r="D2430" s="11" t="s">
        <v>64</v>
      </c>
      <c r="E2430" s="17" t="s">
        <v>79</v>
      </c>
      <c r="F2430" s="17" t="s">
        <v>195</v>
      </c>
      <c r="G2430" s="11" t="s">
        <v>1341</v>
      </c>
      <c r="H2430" s="11" t="s">
        <v>1342</v>
      </c>
      <c r="I2430" s="17" t="s">
        <v>296</v>
      </c>
      <c r="J2430" s="17">
        <v>16.249980999999998</v>
      </c>
      <c r="K2430" s="17">
        <v>-96.341048000000001</v>
      </c>
      <c r="L2430" s="17" t="str">
        <f>HYPERLINK("https://maps.google.com/?q=16.249981,-96.341048", "🔗 Ver Mapa")</f>
        <v>🔗 Ver Mapa</v>
      </c>
    </row>
    <row r="2431" spans="1:12" ht="43.5" x14ac:dyDescent="0.35">
      <c r="A2431" s="5" t="s">
        <v>4</v>
      </c>
      <c r="B2431" s="5" t="s">
        <v>17</v>
      </c>
      <c r="C2431" s="5" t="s">
        <v>1340</v>
      </c>
      <c r="D2431" s="8" t="s">
        <v>64</v>
      </c>
      <c r="E2431" s="16" t="s">
        <v>79</v>
      </c>
      <c r="F2431" s="16" t="s">
        <v>195</v>
      </c>
      <c r="G2431" s="8" t="s">
        <v>1341</v>
      </c>
      <c r="H2431" s="8" t="s">
        <v>1342</v>
      </c>
      <c r="I2431" s="16" t="s">
        <v>296</v>
      </c>
      <c r="J2431" s="16">
        <v>16.249997</v>
      </c>
      <c r="K2431" s="16">
        <v>-96.339307000000005</v>
      </c>
      <c r="L2431" s="16" t="str">
        <f>HYPERLINK("https://maps.google.com/?q=16.249997,-96.339307", "🔗 Ver Mapa")</f>
        <v>🔗 Ver Mapa</v>
      </c>
    </row>
    <row r="2432" spans="1:12" ht="43.5" x14ac:dyDescent="0.35">
      <c r="A2432" s="6" t="s">
        <v>4</v>
      </c>
      <c r="B2432" s="6" t="s">
        <v>17</v>
      </c>
      <c r="C2432" s="6" t="s">
        <v>1340</v>
      </c>
      <c r="D2432" s="11" t="s">
        <v>64</v>
      </c>
      <c r="E2432" s="17" t="s">
        <v>79</v>
      </c>
      <c r="F2432" s="17" t="s">
        <v>195</v>
      </c>
      <c r="G2432" s="11" t="s">
        <v>1341</v>
      </c>
      <c r="H2432" s="11" t="s">
        <v>1342</v>
      </c>
      <c r="I2432" s="17" t="s">
        <v>296</v>
      </c>
      <c r="J2432" s="17">
        <v>16.250095999999999</v>
      </c>
      <c r="K2432" s="17">
        <v>-96.341560000000001</v>
      </c>
      <c r="L2432" s="17" t="str">
        <f>HYPERLINK("https://maps.google.com/?q=16.250096,-96.34156", "🔗 Ver Mapa")</f>
        <v>🔗 Ver Mapa</v>
      </c>
    </row>
    <row r="2433" spans="1:12" ht="43.5" x14ac:dyDescent="0.35">
      <c r="A2433" s="5" t="s">
        <v>4</v>
      </c>
      <c r="B2433" s="5" t="s">
        <v>17</v>
      </c>
      <c r="C2433" s="5" t="s">
        <v>1340</v>
      </c>
      <c r="D2433" s="8" t="s">
        <v>64</v>
      </c>
      <c r="E2433" s="16" t="s">
        <v>79</v>
      </c>
      <c r="F2433" s="16" t="s">
        <v>195</v>
      </c>
      <c r="G2433" s="8" t="s">
        <v>1341</v>
      </c>
      <c r="H2433" s="8" t="s">
        <v>1342</v>
      </c>
      <c r="I2433" s="16" t="s">
        <v>296</v>
      </c>
      <c r="J2433" s="16">
        <v>16.250126000000002</v>
      </c>
      <c r="K2433" s="16">
        <v>-96.341282000000007</v>
      </c>
      <c r="L2433" s="16" t="str">
        <f>HYPERLINK("https://maps.google.com/?q=16.250126,-96.341282", "🔗 Ver Mapa")</f>
        <v>🔗 Ver Mapa</v>
      </c>
    </row>
    <row r="2434" spans="1:12" ht="43.5" x14ac:dyDescent="0.35">
      <c r="A2434" s="6" t="s">
        <v>4</v>
      </c>
      <c r="B2434" s="6" t="s">
        <v>17</v>
      </c>
      <c r="C2434" s="6" t="s">
        <v>1340</v>
      </c>
      <c r="D2434" s="11" t="s">
        <v>64</v>
      </c>
      <c r="E2434" s="17" t="s">
        <v>79</v>
      </c>
      <c r="F2434" s="17" t="s">
        <v>195</v>
      </c>
      <c r="G2434" s="11" t="s">
        <v>1341</v>
      </c>
      <c r="H2434" s="11" t="s">
        <v>1342</v>
      </c>
      <c r="I2434" s="17" t="s">
        <v>296</v>
      </c>
      <c r="J2434" s="17">
        <v>16.250145</v>
      </c>
      <c r="K2434" s="17">
        <v>-96.341483999999994</v>
      </c>
      <c r="L2434" s="17" t="str">
        <f>HYPERLINK("https://maps.google.com/?q=16.250145,-96.341484", "🔗 Ver Mapa")</f>
        <v>🔗 Ver Mapa</v>
      </c>
    </row>
    <row r="2435" spans="1:12" ht="43.5" x14ac:dyDescent="0.35">
      <c r="A2435" s="5" t="s">
        <v>4</v>
      </c>
      <c r="B2435" s="5" t="s">
        <v>17</v>
      </c>
      <c r="C2435" s="5" t="s">
        <v>1340</v>
      </c>
      <c r="D2435" s="8" t="s">
        <v>64</v>
      </c>
      <c r="E2435" s="16" t="s">
        <v>79</v>
      </c>
      <c r="F2435" s="16" t="s">
        <v>195</v>
      </c>
      <c r="G2435" s="8" t="s">
        <v>1341</v>
      </c>
      <c r="H2435" s="8" t="s">
        <v>1342</v>
      </c>
      <c r="I2435" s="16" t="s">
        <v>296</v>
      </c>
      <c r="J2435" s="16">
        <v>16.250198000000001</v>
      </c>
      <c r="K2435" s="16">
        <v>-96.343356</v>
      </c>
      <c r="L2435" s="16" t="str">
        <f>HYPERLINK("https://maps.google.com/?q=16.250198,-96.343356", "🔗 Ver Mapa")</f>
        <v>🔗 Ver Mapa</v>
      </c>
    </row>
    <row r="2436" spans="1:12" ht="43.5" x14ac:dyDescent="0.35">
      <c r="A2436" s="6" t="s">
        <v>4</v>
      </c>
      <c r="B2436" s="6" t="s">
        <v>17</v>
      </c>
      <c r="C2436" s="6" t="s">
        <v>1340</v>
      </c>
      <c r="D2436" s="11" t="s">
        <v>64</v>
      </c>
      <c r="E2436" s="17" t="s">
        <v>79</v>
      </c>
      <c r="F2436" s="17" t="s">
        <v>195</v>
      </c>
      <c r="G2436" s="11" t="s">
        <v>1341</v>
      </c>
      <c r="H2436" s="11" t="s">
        <v>1342</v>
      </c>
      <c r="I2436" s="17" t="s">
        <v>296</v>
      </c>
      <c r="J2436" s="17">
        <v>16.250381999999998</v>
      </c>
      <c r="K2436" s="17">
        <v>-96.344195999999997</v>
      </c>
      <c r="L2436" s="17" t="str">
        <f>HYPERLINK("https://maps.google.com/?q=16.250382,-96.344196", "🔗 Ver Mapa")</f>
        <v>🔗 Ver Mapa</v>
      </c>
    </row>
    <row r="2437" spans="1:12" ht="43.5" x14ac:dyDescent="0.35">
      <c r="A2437" s="5" t="s">
        <v>4</v>
      </c>
      <c r="B2437" s="5" t="s">
        <v>17</v>
      </c>
      <c r="C2437" s="5" t="s">
        <v>1340</v>
      </c>
      <c r="D2437" s="8" t="s">
        <v>64</v>
      </c>
      <c r="E2437" s="16" t="s">
        <v>79</v>
      </c>
      <c r="F2437" s="16" t="s">
        <v>195</v>
      </c>
      <c r="G2437" s="8" t="s">
        <v>1341</v>
      </c>
      <c r="H2437" s="8" t="s">
        <v>1342</v>
      </c>
      <c r="I2437" s="16" t="s">
        <v>296</v>
      </c>
      <c r="J2437" s="16">
        <v>16.250440000000001</v>
      </c>
      <c r="K2437" s="16">
        <v>-96.344667000000001</v>
      </c>
      <c r="L2437" s="16" t="str">
        <f>HYPERLINK("https://maps.google.com/?q=16.25044,-96.344667", "🔗 Ver Mapa")</f>
        <v>🔗 Ver Mapa</v>
      </c>
    </row>
    <row r="2438" spans="1:12" ht="43.5" x14ac:dyDescent="0.35">
      <c r="A2438" s="6" t="s">
        <v>4</v>
      </c>
      <c r="B2438" s="6" t="s">
        <v>17</v>
      </c>
      <c r="C2438" s="6" t="s">
        <v>1340</v>
      </c>
      <c r="D2438" s="11" t="s">
        <v>64</v>
      </c>
      <c r="E2438" s="17" t="s">
        <v>79</v>
      </c>
      <c r="F2438" s="17" t="s">
        <v>195</v>
      </c>
      <c r="G2438" s="11" t="s">
        <v>1341</v>
      </c>
      <c r="H2438" s="11" t="s">
        <v>1342</v>
      </c>
      <c r="I2438" s="17" t="s">
        <v>296</v>
      </c>
      <c r="J2438" s="17">
        <v>16.250451000000002</v>
      </c>
      <c r="K2438" s="17">
        <v>-96.343596000000005</v>
      </c>
      <c r="L2438" s="17" t="str">
        <f>HYPERLINK("https://maps.google.com/?q=16.250451,-96.343596", "🔗 Ver Mapa")</f>
        <v>🔗 Ver Mapa</v>
      </c>
    </row>
    <row r="2439" spans="1:12" ht="43.5" x14ac:dyDescent="0.35">
      <c r="A2439" s="5" t="s">
        <v>4</v>
      </c>
      <c r="B2439" s="5" t="s">
        <v>17</v>
      </c>
      <c r="C2439" s="5" t="s">
        <v>1340</v>
      </c>
      <c r="D2439" s="8" t="s">
        <v>64</v>
      </c>
      <c r="E2439" s="16" t="s">
        <v>79</v>
      </c>
      <c r="F2439" s="16" t="s">
        <v>195</v>
      </c>
      <c r="G2439" s="8" t="s">
        <v>1341</v>
      </c>
      <c r="H2439" s="8" t="s">
        <v>1342</v>
      </c>
      <c r="I2439" s="16" t="s">
        <v>296</v>
      </c>
      <c r="J2439" s="16">
        <v>16.250503999999999</v>
      </c>
      <c r="K2439" s="16">
        <v>-96.343940000000003</v>
      </c>
      <c r="L2439" s="16" t="str">
        <f>HYPERLINK("https://maps.google.com/?q=16.250504,-96.34394", "🔗 Ver Mapa")</f>
        <v>🔗 Ver Mapa</v>
      </c>
    </row>
    <row r="2440" spans="1:12" ht="43.5" x14ac:dyDescent="0.35">
      <c r="A2440" s="6" t="s">
        <v>4</v>
      </c>
      <c r="B2440" s="6" t="s">
        <v>17</v>
      </c>
      <c r="C2440" s="6" t="s">
        <v>1340</v>
      </c>
      <c r="D2440" s="11" t="s">
        <v>64</v>
      </c>
      <c r="E2440" s="17" t="s">
        <v>79</v>
      </c>
      <c r="F2440" s="17" t="s">
        <v>195</v>
      </c>
      <c r="G2440" s="11" t="s">
        <v>1341</v>
      </c>
      <c r="H2440" s="11" t="s">
        <v>1342</v>
      </c>
      <c r="I2440" s="17" t="s">
        <v>296</v>
      </c>
      <c r="J2440" s="17">
        <v>16.250533000000001</v>
      </c>
      <c r="K2440" s="17">
        <v>-96.345533000000003</v>
      </c>
      <c r="L2440" s="17" t="str">
        <f>HYPERLINK("https://maps.google.com/?q=16.250533,-96.345533", "🔗 Ver Mapa")</f>
        <v>🔗 Ver Mapa</v>
      </c>
    </row>
    <row r="2441" spans="1:12" ht="43.5" x14ac:dyDescent="0.35">
      <c r="A2441" s="5" t="s">
        <v>4</v>
      </c>
      <c r="B2441" s="5" t="s">
        <v>17</v>
      </c>
      <c r="C2441" s="5" t="s">
        <v>1340</v>
      </c>
      <c r="D2441" s="8" t="s">
        <v>64</v>
      </c>
      <c r="E2441" s="16" t="s">
        <v>79</v>
      </c>
      <c r="F2441" s="16" t="s">
        <v>195</v>
      </c>
      <c r="G2441" s="8" t="s">
        <v>1341</v>
      </c>
      <c r="H2441" s="8" t="s">
        <v>1342</v>
      </c>
      <c r="I2441" s="16" t="s">
        <v>296</v>
      </c>
      <c r="J2441" s="16">
        <v>16.250601</v>
      </c>
      <c r="K2441" s="16">
        <v>-96.345437000000004</v>
      </c>
      <c r="L2441" s="16" t="str">
        <f>HYPERLINK("https://maps.google.com/?q=16.250601,-96.345437", "🔗 Ver Mapa")</f>
        <v>🔗 Ver Mapa</v>
      </c>
    </row>
    <row r="2442" spans="1:12" ht="43.5" x14ac:dyDescent="0.35">
      <c r="A2442" s="6" t="s">
        <v>4</v>
      </c>
      <c r="B2442" s="6" t="s">
        <v>17</v>
      </c>
      <c r="C2442" s="6" t="s">
        <v>1340</v>
      </c>
      <c r="D2442" s="11" t="s">
        <v>64</v>
      </c>
      <c r="E2442" s="17" t="s">
        <v>79</v>
      </c>
      <c r="F2442" s="17" t="s">
        <v>195</v>
      </c>
      <c r="G2442" s="11" t="s">
        <v>1341</v>
      </c>
      <c r="H2442" s="11" t="s">
        <v>1342</v>
      </c>
      <c r="I2442" s="17" t="s">
        <v>296</v>
      </c>
      <c r="J2442" s="17">
        <v>16.250606999999999</v>
      </c>
      <c r="K2442" s="17">
        <v>-96.345173000000003</v>
      </c>
      <c r="L2442" s="17" t="str">
        <f>HYPERLINK("https://maps.google.com/?q=16.250607,-96.345173", "🔗 Ver Mapa")</f>
        <v>🔗 Ver Mapa</v>
      </c>
    </row>
    <row r="2443" spans="1:12" ht="43.5" x14ac:dyDescent="0.35">
      <c r="A2443" s="5" t="s">
        <v>4</v>
      </c>
      <c r="B2443" s="5" t="s">
        <v>17</v>
      </c>
      <c r="C2443" s="5" t="s">
        <v>1340</v>
      </c>
      <c r="D2443" s="8" t="s">
        <v>64</v>
      </c>
      <c r="E2443" s="16" t="s">
        <v>79</v>
      </c>
      <c r="F2443" s="16" t="s">
        <v>195</v>
      </c>
      <c r="G2443" s="8" t="s">
        <v>1341</v>
      </c>
      <c r="H2443" s="8" t="s">
        <v>1342</v>
      </c>
      <c r="I2443" s="16" t="s">
        <v>296</v>
      </c>
      <c r="J2443" s="16">
        <v>16.250698</v>
      </c>
      <c r="K2443" s="16">
        <v>-96.34496</v>
      </c>
      <c r="L2443" s="16" t="str">
        <f>HYPERLINK("https://maps.google.com/?q=16.250698,-96.34496", "🔗 Ver Mapa")</f>
        <v>🔗 Ver Mapa</v>
      </c>
    </row>
    <row r="2444" spans="1:12" ht="43.5" x14ac:dyDescent="0.35">
      <c r="A2444" s="6" t="s">
        <v>4</v>
      </c>
      <c r="B2444" s="6" t="s">
        <v>17</v>
      </c>
      <c r="C2444" s="6" t="s">
        <v>1340</v>
      </c>
      <c r="D2444" s="11" t="s">
        <v>64</v>
      </c>
      <c r="E2444" s="17" t="s">
        <v>79</v>
      </c>
      <c r="F2444" s="17" t="s">
        <v>195</v>
      </c>
      <c r="G2444" s="11" t="s">
        <v>1341</v>
      </c>
      <c r="H2444" s="11" t="s">
        <v>1342</v>
      </c>
      <c r="I2444" s="17" t="s">
        <v>296</v>
      </c>
      <c r="J2444" s="17">
        <v>16.250722</v>
      </c>
      <c r="K2444" s="17">
        <v>-96.339415000000002</v>
      </c>
      <c r="L2444" s="17" t="str">
        <f>HYPERLINK("https://maps.google.com/?q=16.250722,-96.339415", "🔗 Ver Mapa")</f>
        <v>🔗 Ver Mapa</v>
      </c>
    </row>
    <row r="2445" spans="1:12" ht="43.5" x14ac:dyDescent="0.35">
      <c r="A2445" s="5" t="s">
        <v>4</v>
      </c>
      <c r="B2445" s="5" t="s">
        <v>17</v>
      </c>
      <c r="C2445" s="5" t="s">
        <v>1340</v>
      </c>
      <c r="D2445" s="8" t="s">
        <v>64</v>
      </c>
      <c r="E2445" s="16" t="s">
        <v>79</v>
      </c>
      <c r="F2445" s="16" t="s">
        <v>195</v>
      </c>
      <c r="G2445" s="8" t="s">
        <v>1341</v>
      </c>
      <c r="H2445" s="8" t="s">
        <v>1342</v>
      </c>
      <c r="I2445" s="16" t="s">
        <v>296</v>
      </c>
      <c r="J2445" s="16">
        <v>16.252147999999998</v>
      </c>
      <c r="K2445" s="16">
        <v>-96.332089999999994</v>
      </c>
      <c r="L2445" s="16" t="str">
        <f>HYPERLINK("https://maps.google.com/?q=16.252148,-96.33209", "🔗 Ver Mapa")</f>
        <v>🔗 Ver Mapa</v>
      </c>
    </row>
    <row r="2446" spans="1:12" ht="43.5" x14ac:dyDescent="0.35">
      <c r="A2446" s="6" t="s">
        <v>4</v>
      </c>
      <c r="B2446" s="6" t="s">
        <v>17</v>
      </c>
      <c r="C2446" s="6" t="s">
        <v>1340</v>
      </c>
      <c r="D2446" s="11" t="s">
        <v>64</v>
      </c>
      <c r="E2446" s="17" t="s">
        <v>79</v>
      </c>
      <c r="F2446" s="17" t="s">
        <v>195</v>
      </c>
      <c r="G2446" s="11" t="s">
        <v>1341</v>
      </c>
      <c r="H2446" s="11" t="s">
        <v>1342</v>
      </c>
      <c r="I2446" s="17" t="s">
        <v>296</v>
      </c>
      <c r="J2446" s="17">
        <v>16.252168000000001</v>
      </c>
      <c r="K2446" s="17">
        <v>-96.332958000000005</v>
      </c>
      <c r="L2446" s="17" t="str">
        <f>HYPERLINK("https://maps.google.com/?q=16.252168,-96.332958", "🔗 Ver Mapa")</f>
        <v>🔗 Ver Mapa</v>
      </c>
    </row>
    <row r="2447" spans="1:12" ht="43.5" x14ac:dyDescent="0.35">
      <c r="A2447" s="5" t="s">
        <v>4</v>
      </c>
      <c r="B2447" s="5" t="s">
        <v>17</v>
      </c>
      <c r="C2447" s="5" t="s">
        <v>1340</v>
      </c>
      <c r="D2447" s="8" t="s">
        <v>64</v>
      </c>
      <c r="E2447" s="16" t="s">
        <v>79</v>
      </c>
      <c r="F2447" s="16" t="s">
        <v>195</v>
      </c>
      <c r="G2447" s="8" t="s">
        <v>1341</v>
      </c>
      <c r="H2447" s="8" t="s">
        <v>1342</v>
      </c>
      <c r="I2447" s="16" t="s">
        <v>296</v>
      </c>
      <c r="J2447" s="16">
        <v>16.252179000000002</v>
      </c>
      <c r="K2447" s="16">
        <v>-96.329419999999999</v>
      </c>
      <c r="L2447" s="16" t="str">
        <f>HYPERLINK("https://maps.google.com/?q=16.252179,-96.32942", "🔗 Ver Mapa")</f>
        <v>🔗 Ver Mapa</v>
      </c>
    </row>
    <row r="2448" spans="1:12" ht="43.5" x14ac:dyDescent="0.35">
      <c r="A2448" s="6" t="s">
        <v>4</v>
      </c>
      <c r="B2448" s="6" t="s">
        <v>17</v>
      </c>
      <c r="C2448" s="6" t="s">
        <v>1340</v>
      </c>
      <c r="D2448" s="11" t="s">
        <v>64</v>
      </c>
      <c r="E2448" s="17" t="s">
        <v>79</v>
      </c>
      <c r="F2448" s="17" t="s">
        <v>195</v>
      </c>
      <c r="G2448" s="11" t="s">
        <v>1341</v>
      </c>
      <c r="H2448" s="11" t="s">
        <v>1342</v>
      </c>
      <c r="I2448" s="17" t="s">
        <v>296</v>
      </c>
      <c r="J2448" s="17">
        <v>16.252247000000001</v>
      </c>
      <c r="K2448" s="17">
        <v>-96.329926999999998</v>
      </c>
      <c r="L2448" s="17" t="str">
        <f>HYPERLINK("https://maps.google.com/?q=16.252247,-96.329927", "🔗 Ver Mapa")</f>
        <v>🔗 Ver Mapa</v>
      </c>
    </row>
    <row r="2449" spans="1:12" ht="43.5" x14ac:dyDescent="0.35">
      <c r="A2449" s="5" t="s">
        <v>4</v>
      </c>
      <c r="B2449" s="5" t="s">
        <v>17</v>
      </c>
      <c r="C2449" s="5" t="s">
        <v>1340</v>
      </c>
      <c r="D2449" s="8" t="s">
        <v>64</v>
      </c>
      <c r="E2449" s="16" t="s">
        <v>79</v>
      </c>
      <c r="F2449" s="16" t="s">
        <v>195</v>
      </c>
      <c r="G2449" s="8" t="s">
        <v>1341</v>
      </c>
      <c r="H2449" s="8" t="s">
        <v>1342</v>
      </c>
      <c r="I2449" s="16" t="s">
        <v>296</v>
      </c>
      <c r="J2449" s="16">
        <v>16.252248000000002</v>
      </c>
      <c r="K2449" s="16">
        <v>-96.331128000000007</v>
      </c>
      <c r="L2449" s="16" t="str">
        <f>HYPERLINK("https://maps.google.com/?q=16.252248,-96.331128", "🔗 Ver Mapa")</f>
        <v>🔗 Ver Mapa</v>
      </c>
    </row>
    <row r="2450" spans="1:12" ht="43.5" x14ac:dyDescent="0.35">
      <c r="A2450" s="6" t="s">
        <v>4</v>
      </c>
      <c r="B2450" s="6" t="s">
        <v>17</v>
      </c>
      <c r="C2450" s="6" t="s">
        <v>1340</v>
      </c>
      <c r="D2450" s="11" t="s">
        <v>64</v>
      </c>
      <c r="E2450" s="17" t="s">
        <v>79</v>
      </c>
      <c r="F2450" s="17" t="s">
        <v>195</v>
      </c>
      <c r="G2450" s="11" t="s">
        <v>1341</v>
      </c>
      <c r="H2450" s="11" t="s">
        <v>1342</v>
      </c>
      <c r="I2450" s="17" t="s">
        <v>296</v>
      </c>
      <c r="J2450" s="17">
        <v>16.252291</v>
      </c>
      <c r="K2450" s="17">
        <v>-96.330759999999998</v>
      </c>
      <c r="L2450" s="17" t="str">
        <f>HYPERLINK("https://maps.google.com/?q=16.252291,-96.33076", "🔗 Ver Mapa")</f>
        <v>🔗 Ver Mapa</v>
      </c>
    </row>
    <row r="2451" spans="1:12" ht="43.5" x14ac:dyDescent="0.35">
      <c r="A2451" s="5" t="s">
        <v>4</v>
      </c>
      <c r="B2451" s="5" t="s">
        <v>17</v>
      </c>
      <c r="C2451" s="5" t="s">
        <v>1340</v>
      </c>
      <c r="D2451" s="8" t="s">
        <v>64</v>
      </c>
      <c r="E2451" s="16" t="s">
        <v>79</v>
      </c>
      <c r="F2451" s="16" t="s">
        <v>195</v>
      </c>
      <c r="G2451" s="8" t="s">
        <v>1341</v>
      </c>
      <c r="H2451" s="8" t="s">
        <v>1342</v>
      </c>
      <c r="I2451" s="16" t="s">
        <v>296</v>
      </c>
      <c r="J2451" s="16">
        <v>16.252369999999999</v>
      </c>
      <c r="K2451" s="16">
        <v>-96.329104000000001</v>
      </c>
      <c r="L2451" s="16" t="str">
        <f>HYPERLINK("https://maps.google.com/?q=16.25237,-96.329104", "🔗 Ver Mapa")</f>
        <v>🔗 Ver Mapa</v>
      </c>
    </row>
    <row r="2452" spans="1:12" ht="43.5" x14ac:dyDescent="0.35">
      <c r="A2452" s="6" t="s">
        <v>4</v>
      </c>
      <c r="B2452" s="6" t="s">
        <v>17</v>
      </c>
      <c r="C2452" s="6" t="s">
        <v>1340</v>
      </c>
      <c r="D2452" s="11" t="s">
        <v>64</v>
      </c>
      <c r="E2452" s="17" t="s">
        <v>79</v>
      </c>
      <c r="F2452" s="17" t="s">
        <v>195</v>
      </c>
      <c r="G2452" s="11" t="s">
        <v>1341</v>
      </c>
      <c r="H2452" s="11" t="s">
        <v>1342</v>
      </c>
      <c r="I2452" s="17" t="s">
        <v>296</v>
      </c>
      <c r="J2452" s="17">
        <v>16.252551</v>
      </c>
      <c r="K2452" s="17">
        <v>-96.328987999999995</v>
      </c>
      <c r="L2452" s="17" t="str">
        <f>HYPERLINK("https://maps.google.com/?q=16.252551,-96.328988", "🔗 Ver Mapa")</f>
        <v>🔗 Ver Mapa</v>
      </c>
    </row>
    <row r="2453" spans="1:12" ht="43.5" x14ac:dyDescent="0.35">
      <c r="A2453" s="5" t="s">
        <v>4</v>
      </c>
      <c r="B2453" s="5" t="s">
        <v>17</v>
      </c>
      <c r="C2453" s="5" t="s">
        <v>1340</v>
      </c>
      <c r="D2453" s="8" t="s">
        <v>64</v>
      </c>
      <c r="E2453" s="16" t="s">
        <v>79</v>
      </c>
      <c r="F2453" s="16" t="s">
        <v>195</v>
      </c>
      <c r="G2453" s="8" t="s">
        <v>1341</v>
      </c>
      <c r="H2453" s="8" t="s">
        <v>1342</v>
      </c>
      <c r="I2453" s="16" t="s">
        <v>296</v>
      </c>
      <c r="J2453" s="16">
        <v>16.252579000000001</v>
      </c>
      <c r="K2453" s="16">
        <v>-96.338921999999997</v>
      </c>
      <c r="L2453" s="16" t="str">
        <f>HYPERLINK("https://maps.google.com/?q=16.252579,-96.338922", "🔗 Ver Mapa")</f>
        <v>🔗 Ver Mapa</v>
      </c>
    </row>
    <row r="2454" spans="1:12" ht="43.5" x14ac:dyDescent="0.35">
      <c r="A2454" s="6" t="s">
        <v>4</v>
      </c>
      <c r="B2454" s="6" t="s">
        <v>17</v>
      </c>
      <c r="C2454" s="6" t="s">
        <v>1340</v>
      </c>
      <c r="D2454" s="11" t="s">
        <v>64</v>
      </c>
      <c r="E2454" s="17" t="s">
        <v>79</v>
      </c>
      <c r="F2454" s="17" t="s">
        <v>195</v>
      </c>
      <c r="G2454" s="11" t="s">
        <v>1341</v>
      </c>
      <c r="H2454" s="11" t="s">
        <v>1342</v>
      </c>
      <c r="I2454" s="17" t="s">
        <v>296</v>
      </c>
      <c r="J2454" s="17">
        <v>16.252602</v>
      </c>
      <c r="K2454" s="17">
        <v>-96.338832999999994</v>
      </c>
      <c r="L2454" s="17" t="str">
        <f>HYPERLINK("https://maps.google.com/?q=16.252602,-96.338833", "🔗 Ver Mapa")</f>
        <v>🔗 Ver Mapa</v>
      </c>
    </row>
    <row r="2455" spans="1:12" ht="43.5" x14ac:dyDescent="0.35">
      <c r="A2455" s="5" t="s">
        <v>4</v>
      </c>
      <c r="B2455" s="5" t="s">
        <v>17</v>
      </c>
      <c r="C2455" s="5" t="s">
        <v>1340</v>
      </c>
      <c r="D2455" s="8" t="s">
        <v>64</v>
      </c>
      <c r="E2455" s="16" t="s">
        <v>79</v>
      </c>
      <c r="F2455" s="16" t="s">
        <v>195</v>
      </c>
      <c r="G2455" s="8" t="s">
        <v>1341</v>
      </c>
      <c r="H2455" s="8" t="s">
        <v>1342</v>
      </c>
      <c r="I2455" s="16" t="s">
        <v>296</v>
      </c>
      <c r="J2455" s="16">
        <v>16.252611000000002</v>
      </c>
      <c r="K2455" s="16">
        <v>-96.339372999999995</v>
      </c>
      <c r="L2455" s="16" t="str">
        <f>HYPERLINK("https://maps.google.com/?q=16.252611,-96.339373", "🔗 Ver Mapa")</f>
        <v>🔗 Ver Mapa</v>
      </c>
    </row>
    <row r="2456" spans="1:12" ht="43.5" x14ac:dyDescent="0.35">
      <c r="A2456" s="6" t="s">
        <v>4</v>
      </c>
      <c r="B2456" s="6" t="s">
        <v>17</v>
      </c>
      <c r="C2456" s="6" t="s">
        <v>1340</v>
      </c>
      <c r="D2456" s="11" t="s">
        <v>64</v>
      </c>
      <c r="E2456" s="17" t="s">
        <v>79</v>
      </c>
      <c r="F2456" s="17" t="s">
        <v>195</v>
      </c>
      <c r="G2456" s="11" t="s">
        <v>1341</v>
      </c>
      <c r="H2456" s="11" t="s">
        <v>1342</v>
      </c>
      <c r="I2456" s="17" t="s">
        <v>296</v>
      </c>
      <c r="J2456" s="17">
        <v>16.252701999999999</v>
      </c>
      <c r="K2456" s="17">
        <v>-96.333346000000006</v>
      </c>
      <c r="L2456" s="17" t="str">
        <f>HYPERLINK("https://maps.google.com/?q=16.252702,-96.333346", "🔗 Ver Mapa")</f>
        <v>🔗 Ver Mapa</v>
      </c>
    </row>
    <row r="2457" spans="1:12" ht="43.5" x14ac:dyDescent="0.35">
      <c r="A2457" s="5" t="s">
        <v>4</v>
      </c>
      <c r="B2457" s="5" t="s">
        <v>17</v>
      </c>
      <c r="C2457" s="5" t="s">
        <v>1340</v>
      </c>
      <c r="D2457" s="8" t="s">
        <v>64</v>
      </c>
      <c r="E2457" s="16" t="s">
        <v>79</v>
      </c>
      <c r="F2457" s="16" t="s">
        <v>195</v>
      </c>
      <c r="G2457" s="8" t="s">
        <v>1341</v>
      </c>
      <c r="H2457" s="8" t="s">
        <v>1342</v>
      </c>
      <c r="I2457" s="16" t="s">
        <v>296</v>
      </c>
      <c r="J2457" s="16">
        <v>16.252717000000001</v>
      </c>
      <c r="K2457" s="16">
        <v>-96.339186999999995</v>
      </c>
      <c r="L2457" s="16" t="str">
        <f>HYPERLINK("https://maps.google.com/?q=16.252717,-96.339187", "🔗 Ver Mapa")</f>
        <v>🔗 Ver Mapa</v>
      </c>
    </row>
    <row r="2458" spans="1:12" ht="43.5" x14ac:dyDescent="0.35">
      <c r="A2458" s="6" t="s">
        <v>4</v>
      </c>
      <c r="B2458" s="6" t="s">
        <v>17</v>
      </c>
      <c r="C2458" s="6" t="s">
        <v>1340</v>
      </c>
      <c r="D2458" s="11" t="s">
        <v>64</v>
      </c>
      <c r="E2458" s="17" t="s">
        <v>79</v>
      </c>
      <c r="F2458" s="17" t="s">
        <v>195</v>
      </c>
      <c r="G2458" s="11" t="s">
        <v>1341</v>
      </c>
      <c r="H2458" s="11" t="s">
        <v>1342</v>
      </c>
      <c r="I2458" s="17" t="s">
        <v>296</v>
      </c>
      <c r="J2458" s="17">
        <v>16.252907</v>
      </c>
      <c r="K2458" s="17">
        <v>-96.333603999999994</v>
      </c>
      <c r="L2458" s="17" t="str">
        <f>HYPERLINK("https://maps.google.com/?q=16.252907,-96.333604", "🔗 Ver Mapa")</f>
        <v>🔗 Ver Mapa</v>
      </c>
    </row>
    <row r="2459" spans="1:12" ht="43.5" x14ac:dyDescent="0.35">
      <c r="A2459" s="5" t="s">
        <v>4</v>
      </c>
      <c r="B2459" s="5" t="s">
        <v>17</v>
      </c>
      <c r="C2459" s="5" t="s">
        <v>1340</v>
      </c>
      <c r="D2459" s="8" t="s">
        <v>64</v>
      </c>
      <c r="E2459" s="16" t="s">
        <v>79</v>
      </c>
      <c r="F2459" s="16" t="s">
        <v>195</v>
      </c>
      <c r="G2459" s="8" t="s">
        <v>1341</v>
      </c>
      <c r="H2459" s="8" t="s">
        <v>1342</v>
      </c>
      <c r="I2459" s="16" t="s">
        <v>296</v>
      </c>
      <c r="J2459" s="16">
        <v>16.253025999999998</v>
      </c>
      <c r="K2459" s="16">
        <v>-96.328783999999999</v>
      </c>
      <c r="L2459" s="16" t="str">
        <f>HYPERLINK("https://maps.google.com/?q=16.253026,-96.328784", "🔗 Ver Mapa")</f>
        <v>🔗 Ver Mapa</v>
      </c>
    </row>
    <row r="2460" spans="1:12" ht="43.5" x14ac:dyDescent="0.35">
      <c r="A2460" s="6" t="s">
        <v>4</v>
      </c>
      <c r="B2460" s="6" t="s">
        <v>17</v>
      </c>
      <c r="C2460" s="6" t="s">
        <v>1340</v>
      </c>
      <c r="D2460" s="11" t="s">
        <v>64</v>
      </c>
      <c r="E2460" s="17" t="s">
        <v>79</v>
      </c>
      <c r="F2460" s="17" t="s">
        <v>195</v>
      </c>
      <c r="G2460" s="11" t="s">
        <v>1341</v>
      </c>
      <c r="H2460" s="11" t="s">
        <v>1342</v>
      </c>
      <c r="I2460" s="17" t="s">
        <v>296</v>
      </c>
      <c r="J2460" s="17">
        <v>16.253153000000001</v>
      </c>
      <c r="K2460" s="17">
        <v>-96.334034000000003</v>
      </c>
      <c r="L2460" s="17" t="str">
        <f>HYPERLINK("https://maps.google.com/?q=16.253153,-96.334034", "🔗 Ver Mapa")</f>
        <v>🔗 Ver Mapa</v>
      </c>
    </row>
    <row r="2461" spans="1:12" ht="43.5" x14ac:dyDescent="0.35">
      <c r="A2461" s="5" t="s">
        <v>4</v>
      </c>
      <c r="B2461" s="5" t="s">
        <v>17</v>
      </c>
      <c r="C2461" s="5" t="s">
        <v>1340</v>
      </c>
      <c r="D2461" s="8" t="s">
        <v>64</v>
      </c>
      <c r="E2461" s="16" t="s">
        <v>79</v>
      </c>
      <c r="F2461" s="16" t="s">
        <v>195</v>
      </c>
      <c r="G2461" s="8" t="s">
        <v>1341</v>
      </c>
      <c r="H2461" s="8" t="s">
        <v>1342</v>
      </c>
      <c r="I2461" s="16" t="s">
        <v>296</v>
      </c>
      <c r="J2461" s="16">
        <v>16.253238</v>
      </c>
      <c r="K2461" s="16">
        <v>-96.338317000000004</v>
      </c>
      <c r="L2461" s="16" t="str">
        <f>HYPERLINK("https://maps.google.com/?q=16.253238,-96.338317", "🔗 Ver Mapa")</f>
        <v>🔗 Ver Mapa</v>
      </c>
    </row>
    <row r="2462" spans="1:12" ht="43.5" x14ac:dyDescent="0.35">
      <c r="A2462" s="6" t="s">
        <v>4</v>
      </c>
      <c r="B2462" s="6" t="s">
        <v>17</v>
      </c>
      <c r="C2462" s="6" t="s">
        <v>1340</v>
      </c>
      <c r="D2462" s="11" t="s">
        <v>64</v>
      </c>
      <c r="E2462" s="17" t="s">
        <v>79</v>
      </c>
      <c r="F2462" s="17" t="s">
        <v>195</v>
      </c>
      <c r="G2462" s="11" t="s">
        <v>1341</v>
      </c>
      <c r="H2462" s="11" t="s">
        <v>1342</v>
      </c>
      <c r="I2462" s="17" t="s">
        <v>296</v>
      </c>
      <c r="J2462" s="17">
        <v>16.253285000000002</v>
      </c>
      <c r="K2462" s="17">
        <v>-96.334513999999999</v>
      </c>
      <c r="L2462" s="17" t="str">
        <f>HYPERLINK("https://maps.google.com/?q=16.253285,-96.334514", "🔗 Ver Mapa")</f>
        <v>🔗 Ver Mapa</v>
      </c>
    </row>
    <row r="2463" spans="1:12" ht="43.5" x14ac:dyDescent="0.35">
      <c r="A2463" s="5" t="s">
        <v>4</v>
      </c>
      <c r="B2463" s="5" t="s">
        <v>17</v>
      </c>
      <c r="C2463" s="5" t="s">
        <v>1340</v>
      </c>
      <c r="D2463" s="8" t="s">
        <v>64</v>
      </c>
      <c r="E2463" s="16" t="s">
        <v>79</v>
      </c>
      <c r="F2463" s="16" t="s">
        <v>195</v>
      </c>
      <c r="G2463" s="8" t="s">
        <v>1341</v>
      </c>
      <c r="H2463" s="8" t="s">
        <v>1342</v>
      </c>
      <c r="I2463" s="16" t="s">
        <v>296</v>
      </c>
      <c r="J2463" s="16">
        <v>16.253454999999999</v>
      </c>
      <c r="K2463" s="16">
        <v>-96.328530000000001</v>
      </c>
      <c r="L2463" s="16" t="str">
        <f>HYPERLINK("https://maps.google.com/?q=16.253455,-96.32853", "🔗 Ver Mapa")</f>
        <v>🔗 Ver Mapa</v>
      </c>
    </row>
    <row r="2464" spans="1:12" ht="43.5" x14ac:dyDescent="0.35">
      <c r="A2464" s="6" t="s">
        <v>4</v>
      </c>
      <c r="B2464" s="6" t="s">
        <v>17</v>
      </c>
      <c r="C2464" s="6" t="s">
        <v>1340</v>
      </c>
      <c r="D2464" s="11" t="s">
        <v>64</v>
      </c>
      <c r="E2464" s="17" t="s">
        <v>79</v>
      </c>
      <c r="F2464" s="17" t="s">
        <v>195</v>
      </c>
      <c r="G2464" s="11" t="s">
        <v>1341</v>
      </c>
      <c r="H2464" s="11" t="s">
        <v>1342</v>
      </c>
      <c r="I2464" s="17" t="s">
        <v>296</v>
      </c>
      <c r="J2464" s="17">
        <v>16.253464000000001</v>
      </c>
      <c r="K2464" s="17">
        <v>-96.334836999999993</v>
      </c>
      <c r="L2464" s="17" t="str">
        <f>HYPERLINK("https://maps.google.com/?q=16.253464,-96.334837", "🔗 Ver Mapa")</f>
        <v>🔗 Ver Mapa</v>
      </c>
    </row>
    <row r="2465" spans="1:12" ht="43.5" x14ac:dyDescent="0.35">
      <c r="A2465" s="5" t="s">
        <v>4</v>
      </c>
      <c r="B2465" s="5" t="s">
        <v>17</v>
      </c>
      <c r="C2465" s="5" t="s">
        <v>1340</v>
      </c>
      <c r="D2465" s="8" t="s">
        <v>64</v>
      </c>
      <c r="E2465" s="16" t="s">
        <v>79</v>
      </c>
      <c r="F2465" s="16" t="s">
        <v>195</v>
      </c>
      <c r="G2465" s="8" t="s">
        <v>1341</v>
      </c>
      <c r="H2465" s="8" t="s">
        <v>1342</v>
      </c>
      <c r="I2465" s="16" t="s">
        <v>296</v>
      </c>
      <c r="J2465" s="16">
        <v>16.253616000000001</v>
      </c>
      <c r="K2465" s="16">
        <v>-96.328485000000001</v>
      </c>
      <c r="L2465" s="16" t="str">
        <f>HYPERLINK("https://maps.google.com/?q=16.253616,-96.328485", "🔗 Ver Mapa")</f>
        <v>🔗 Ver Mapa</v>
      </c>
    </row>
    <row r="2466" spans="1:12" ht="43.5" x14ac:dyDescent="0.35">
      <c r="A2466" s="6" t="s">
        <v>4</v>
      </c>
      <c r="B2466" s="6" t="s">
        <v>17</v>
      </c>
      <c r="C2466" s="6" t="s">
        <v>1340</v>
      </c>
      <c r="D2466" s="11" t="s">
        <v>64</v>
      </c>
      <c r="E2466" s="17" t="s">
        <v>79</v>
      </c>
      <c r="F2466" s="17" t="s">
        <v>195</v>
      </c>
      <c r="G2466" s="11" t="s">
        <v>1341</v>
      </c>
      <c r="H2466" s="11" t="s">
        <v>1342</v>
      </c>
      <c r="I2466" s="17" t="s">
        <v>296</v>
      </c>
      <c r="J2466" s="17">
        <v>16.253813000000001</v>
      </c>
      <c r="K2466" s="17">
        <v>-96.328361000000001</v>
      </c>
      <c r="L2466" s="17" t="str">
        <f>HYPERLINK("https://maps.google.com/?q=16.253813,-96.328361", "🔗 Ver Mapa")</f>
        <v>🔗 Ver Mapa</v>
      </c>
    </row>
    <row r="2467" spans="1:12" ht="43.5" x14ac:dyDescent="0.35">
      <c r="A2467" s="5" t="s">
        <v>4</v>
      </c>
      <c r="B2467" s="5" t="s">
        <v>17</v>
      </c>
      <c r="C2467" s="5" t="s">
        <v>1340</v>
      </c>
      <c r="D2467" s="8" t="s">
        <v>64</v>
      </c>
      <c r="E2467" s="16" t="s">
        <v>79</v>
      </c>
      <c r="F2467" s="16" t="s">
        <v>195</v>
      </c>
      <c r="G2467" s="8" t="s">
        <v>1341</v>
      </c>
      <c r="H2467" s="8" t="s">
        <v>1342</v>
      </c>
      <c r="I2467" s="16" t="s">
        <v>296</v>
      </c>
      <c r="J2467" s="16">
        <v>16.253869999999999</v>
      </c>
      <c r="K2467" s="16">
        <v>-96.338122999999996</v>
      </c>
      <c r="L2467" s="16" t="str">
        <f>HYPERLINK("https://maps.google.com/?q=16.25387,-96.338123", "🔗 Ver Mapa")</f>
        <v>🔗 Ver Mapa</v>
      </c>
    </row>
    <row r="2468" spans="1:12" ht="43.5" x14ac:dyDescent="0.35">
      <c r="A2468" s="6" t="s">
        <v>4</v>
      </c>
      <c r="B2468" s="6" t="s">
        <v>17</v>
      </c>
      <c r="C2468" s="6" t="s">
        <v>1340</v>
      </c>
      <c r="D2468" s="11" t="s">
        <v>64</v>
      </c>
      <c r="E2468" s="17" t="s">
        <v>79</v>
      </c>
      <c r="F2468" s="17" t="s">
        <v>195</v>
      </c>
      <c r="G2468" s="11" t="s">
        <v>1341</v>
      </c>
      <c r="H2468" s="11" t="s">
        <v>1342</v>
      </c>
      <c r="I2468" s="17" t="s">
        <v>296</v>
      </c>
      <c r="J2468" s="17">
        <v>16.253927999999998</v>
      </c>
      <c r="K2468" s="17">
        <v>-96.335260000000005</v>
      </c>
      <c r="L2468" s="17" t="str">
        <f>HYPERLINK("https://maps.google.com/?q=16.253928,-96.33526", "🔗 Ver Mapa")</f>
        <v>🔗 Ver Mapa</v>
      </c>
    </row>
    <row r="2469" spans="1:12" ht="43.5" x14ac:dyDescent="0.35">
      <c r="A2469" s="5" t="s">
        <v>4</v>
      </c>
      <c r="B2469" s="5" t="s">
        <v>17</v>
      </c>
      <c r="C2469" s="5" t="s">
        <v>1340</v>
      </c>
      <c r="D2469" s="8" t="s">
        <v>64</v>
      </c>
      <c r="E2469" s="16" t="s">
        <v>79</v>
      </c>
      <c r="F2469" s="16" t="s">
        <v>195</v>
      </c>
      <c r="G2469" s="8" t="s">
        <v>1341</v>
      </c>
      <c r="H2469" s="8" t="s">
        <v>1342</v>
      </c>
      <c r="I2469" s="16" t="s">
        <v>296</v>
      </c>
      <c r="J2469" s="16">
        <v>16.253947</v>
      </c>
      <c r="K2469" s="16">
        <v>-96.328236000000004</v>
      </c>
      <c r="L2469" s="16" t="str">
        <f>HYPERLINK("https://maps.google.com/?q=16.253947,-96.328236", "🔗 Ver Mapa")</f>
        <v>🔗 Ver Mapa</v>
      </c>
    </row>
    <row r="2470" spans="1:12" ht="43.5" x14ac:dyDescent="0.35">
      <c r="A2470" s="6" t="s">
        <v>4</v>
      </c>
      <c r="B2470" s="6" t="s">
        <v>17</v>
      </c>
      <c r="C2470" s="6" t="s">
        <v>1340</v>
      </c>
      <c r="D2470" s="11" t="s">
        <v>64</v>
      </c>
      <c r="E2470" s="17" t="s">
        <v>79</v>
      </c>
      <c r="F2470" s="17" t="s">
        <v>195</v>
      </c>
      <c r="G2470" s="11" t="s">
        <v>1341</v>
      </c>
      <c r="H2470" s="11" t="s">
        <v>1342</v>
      </c>
      <c r="I2470" s="17" t="s">
        <v>296</v>
      </c>
      <c r="J2470" s="17">
        <v>16.254187000000002</v>
      </c>
      <c r="K2470" s="17">
        <v>-96.337967000000006</v>
      </c>
      <c r="L2470" s="17" t="str">
        <f>HYPERLINK("https://maps.google.com/?q=16.254187,-96.337967", "🔗 Ver Mapa")</f>
        <v>🔗 Ver Mapa</v>
      </c>
    </row>
    <row r="2471" spans="1:12" ht="43.5" x14ac:dyDescent="0.35">
      <c r="A2471" s="5" t="s">
        <v>4</v>
      </c>
      <c r="B2471" s="5" t="s">
        <v>17</v>
      </c>
      <c r="C2471" s="5" t="s">
        <v>1340</v>
      </c>
      <c r="D2471" s="8" t="s">
        <v>64</v>
      </c>
      <c r="E2471" s="16" t="s">
        <v>79</v>
      </c>
      <c r="F2471" s="16" t="s">
        <v>195</v>
      </c>
      <c r="G2471" s="8" t="s">
        <v>1341</v>
      </c>
      <c r="H2471" s="8" t="s">
        <v>1342</v>
      </c>
      <c r="I2471" s="16" t="s">
        <v>296</v>
      </c>
      <c r="J2471" s="16">
        <v>16.254303</v>
      </c>
      <c r="K2471" s="16">
        <v>-96.327776</v>
      </c>
      <c r="L2471" s="16" t="str">
        <f>HYPERLINK("https://maps.google.com/?q=16.254303,-96.327776", "🔗 Ver Mapa")</f>
        <v>🔗 Ver Mapa</v>
      </c>
    </row>
    <row r="2472" spans="1:12" ht="43.5" x14ac:dyDescent="0.35">
      <c r="A2472" s="6" t="s">
        <v>4</v>
      </c>
      <c r="B2472" s="6" t="s">
        <v>17</v>
      </c>
      <c r="C2472" s="6" t="s">
        <v>1340</v>
      </c>
      <c r="D2472" s="11" t="s">
        <v>64</v>
      </c>
      <c r="E2472" s="17" t="s">
        <v>79</v>
      </c>
      <c r="F2472" s="17" t="s">
        <v>195</v>
      </c>
      <c r="G2472" s="11" t="s">
        <v>1341</v>
      </c>
      <c r="H2472" s="11" t="s">
        <v>1342</v>
      </c>
      <c r="I2472" s="17" t="s">
        <v>296</v>
      </c>
      <c r="J2472" s="17">
        <v>16.254524</v>
      </c>
      <c r="K2472" s="17">
        <v>-96.335976000000002</v>
      </c>
      <c r="L2472" s="17" t="str">
        <f>HYPERLINK("https://maps.google.com/?q=16.254524,-96.335976", "🔗 Ver Mapa")</f>
        <v>🔗 Ver Mapa</v>
      </c>
    </row>
    <row r="2473" spans="1:12" ht="43.5" x14ac:dyDescent="0.35">
      <c r="A2473" s="5" t="s">
        <v>4</v>
      </c>
      <c r="B2473" s="5" t="s">
        <v>17</v>
      </c>
      <c r="C2473" s="5" t="s">
        <v>1340</v>
      </c>
      <c r="D2473" s="8" t="s">
        <v>64</v>
      </c>
      <c r="E2473" s="16" t="s">
        <v>79</v>
      </c>
      <c r="F2473" s="16" t="s">
        <v>195</v>
      </c>
      <c r="G2473" s="8" t="s">
        <v>1341</v>
      </c>
      <c r="H2473" s="8" t="s">
        <v>1342</v>
      </c>
      <c r="I2473" s="16" t="s">
        <v>296</v>
      </c>
      <c r="J2473" s="16">
        <v>16.254528000000001</v>
      </c>
      <c r="K2473" s="16">
        <v>-96.327265999999995</v>
      </c>
      <c r="L2473" s="16" t="str">
        <f>HYPERLINK("https://maps.google.com/?q=16.254528,-96.327266", "🔗 Ver Mapa")</f>
        <v>🔗 Ver Mapa</v>
      </c>
    </row>
    <row r="2474" spans="1:12" ht="43.5" x14ac:dyDescent="0.35">
      <c r="A2474" s="6" t="s">
        <v>4</v>
      </c>
      <c r="B2474" s="6" t="s">
        <v>17</v>
      </c>
      <c r="C2474" s="6" t="s">
        <v>1340</v>
      </c>
      <c r="D2474" s="11" t="s">
        <v>64</v>
      </c>
      <c r="E2474" s="17" t="s">
        <v>79</v>
      </c>
      <c r="F2474" s="17" t="s">
        <v>195</v>
      </c>
      <c r="G2474" s="11" t="s">
        <v>1341</v>
      </c>
      <c r="H2474" s="11" t="s">
        <v>1342</v>
      </c>
      <c r="I2474" s="17" t="s">
        <v>296</v>
      </c>
      <c r="J2474" s="17">
        <v>16.254567999999999</v>
      </c>
      <c r="K2474" s="17">
        <v>-96.337676999999999</v>
      </c>
      <c r="L2474" s="17" t="str">
        <f>HYPERLINK("https://maps.google.com/?q=16.254568,-96.337677", "🔗 Ver Mapa")</f>
        <v>🔗 Ver Mapa</v>
      </c>
    </row>
    <row r="2475" spans="1:12" ht="43.5" x14ac:dyDescent="0.35">
      <c r="A2475" s="5" t="s">
        <v>4</v>
      </c>
      <c r="B2475" s="5" t="s">
        <v>17</v>
      </c>
      <c r="C2475" s="5" t="s">
        <v>1340</v>
      </c>
      <c r="D2475" s="8" t="s">
        <v>64</v>
      </c>
      <c r="E2475" s="16" t="s">
        <v>79</v>
      </c>
      <c r="F2475" s="16" t="s">
        <v>195</v>
      </c>
      <c r="G2475" s="8" t="s">
        <v>1341</v>
      </c>
      <c r="H2475" s="8" t="s">
        <v>1342</v>
      </c>
      <c r="I2475" s="16" t="s">
        <v>296</v>
      </c>
      <c r="J2475" s="16">
        <v>16.254594000000001</v>
      </c>
      <c r="K2475" s="16">
        <v>-96.326864</v>
      </c>
      <c r="L2475" s="16" t="str">
        <f>HYPERLINK("https://maps.google.com/?q=16.254594,-96.326864", "🔗 Ver Mapa")</f>
        <v>🔗 Ver Mapa</v>
      </c>
    </row>
    <row r="2476" spans="1:12" ht="43.5" x14ac:dyDescent="0.35">
      <c r="A2476" s="6" t="s">
        <v>4</v>
      </c>
      <c r="B2476" s="6" t="s">
        <v>17</v>
      </c>
      <c r="C2476" s="6" t="s">
        <v>1340</v>
      </c>
      <c r="D2476" s="11" t="s">
        <v>64</v>
      </c>
      <c r="E2476" s="17" t="s">
        <v>79</v>
      </c>
      <c r="F2476" s="17" t="s">
        <v>195</v>
      </c>
      <c r="G2476" s="11" t="s">
        <v>1341</v>
      </c>
      <c r="H2476" s="11" t="s">
        <v>1342</v>
      </c>
      <c r="I2476" s="17" t="s">
        <v>296</v>
      </c>
      <c r="J2476" s="17">
        <v>16.254625000000001</v>
      </c>
      <c r="K2476" s="17">
        <v>-96.325917000000004</v>
      </c>
      <c r="L2476" s="17" t="str">
        <f>HYPERLINK("https://maps.google.com/?q=16.254625,-96.325917", "🔗 Ver Mapa")</f>
        <v>🔗 Ver Mapa</v>
      </c>
    </row>
    <row r="2477" spans="1:12" ht="43.5" x14ac:dyDescent="0.35">
      <c r="A2477" s="5" t="s">
        <v>4</v>
      </c>
      <c r="B2477" s="5" t="s">
        <v>17</v>
      </c>
      <c r="C2477" s="5" t="s">
        <v>1340</v>
      </c>
      <c r="D2477" s="8" t="s">
        <v>64</v>
      </c>
      <c r="E2477" s="16" t="s">
        <v>79</v>
      </c>
      <c r="F2477" s="16" t="s">
        <v>195</v>
      </c>
      <c r="G2477" s="8" t="s">
        <v>1341</v>
      </c>
      <c r="H2477" s="8" t="s">
        <v>1342</v>
      </c>
      <c r="I2477" s="16" t="s">
        <v>296</v>
      </c>
      <c r="J2477" s="16">
        <v>16.254639000000001</v>
      </c>
      <c r="K2477" s="16">
        <v>-96.325743000000003</v>
      </c>
      <c r="L2477" s="16" t="str">
        <f>HYPERLINK("https://maps.google.com/?q=16.254639,-96.325743", "🔗 Ver Mapa")</f>
        <v>🔗 Ver Mapa</v>
      </c>
    </row>
    <row r="2478" spans="1:12" ht="43.5" x14ac:dyDescent="0.35">
      <c r="A2478" s="6" t="s">
        <v>4</v>
      </c>
      <c r="B2478" s="6" t="s">
        <v>17</v>
      </c>
      <c r="C2478" s="6" t="s">
        <v>1340</v>
      </c>
      <c r="D2478" s="11" t="s">
        <v>64</v>
      </c>
      <c r="E2478" s="17" t="s">
        <v>79</v>
      </c>
      <c r="F2478" s="17" t="s">
        <v>195</v>
      </c>
      <c r="G2478" s="11" t="s">
        <v>1341</v>
      </c>
      <c r="H2478" s="11" t="s">
        <v>1342</v>
      </c>
      <c r="I2478" s="17" t="s">
        <v>296</v>
      </c>
      <c r="J2478" s="17">
        <v>16.254776</v>
      </c>
      <c r="K2478" s="17">
        <v>-96.336821999999998</v>
      </c>
      <c r="L2478" s="17" t="str">
        <f>HYPERLINK("https://maps.google.com/?q=16.254776,-96.336822", "🔗 Ver Mapa")</f>
        <v>🔗 Ver Mapa</v>
      </c>
    </row>
    <row r="2479" spans="1:12" ht="43.5" x14ac:dyDescent="0.35">
      <c r="A2479" s="5" t="s">
        <v>4</v>
      </c>
      <c r="B2479" s="5" t="s">
        <v>17</v>
      </c>
      <c r="C2479" s="5" t="s">
        <v>1340</v>
      </c>
      <c r="D2479" s="8" t="s">
        <v>64</v>
      </c>
      <c r="E2479" s="16" t="s">
        <v>79</v>
      </c>
      <c r="F2479" s="16" t="s">
        <v>195</v>
      </c>
      <c r="G2479" s="8" t="s">
        <v>1341</v>
      </c>
      <c r="H2479" s="8" t="s">
        <v>1342</v>
      </c>
      <c r="I2479" s="16" t="s">
        <v>296</v>
      </c>
      <c r="J2479" s="16">
        <v>16.254809999999999</v>
      </c>
      <c r="K2479" s="16">
        <v>-96.336546999999996</v>
      </c>
      <c r="L2479" s="16" t="str">
        <f>HYPERLINK("https://maps.google.com/?q=16.25481,-96.336547", "🔗 Ver Mapa")</f>
        <v>🔗 Ver Mapa</v>
      </c>
    </row>
    <row r="2480" spans="1:12" ht="43.5" x14ac:dyDescent="0.35">
      <c r="A2480" s="6" t="s">
        <v>4</v>
      </c>
      <c r="B2480" s="6" t="s">
        <v>17</v>
      </c>
      <c r="C2480" s="6" t="s">
        <v>1340</v>
      </c>
      <c r="D2480" s="11" t="s">
        <v>64</v>
      </c>
      <c r="E2480" s="17" t="s">
        <v>79</v>
      </c>
      <c r="F2480" s="17" t="s">
        <v>195</v>
      </c>
      <c r="G2480" s="11" t="s">
        <v>1341</v>
      </c>
      <c r="H2480" s="11" t="s">
        <v>1342</v>
      </c>
      <c r="I2480" s="17" t="s">
        <v>296</v>
      </c>
      <c r="J2480" s="17">
        <v>16.254850999999999</v>
      </c>
      <c r="K2480" s="17">
        <v>-96.337366000000003</v>
      </c>
      <c r="L2480" s="17" t="str">
        <f>HYPERLINK("https://maps.google.com/?q=16.254851,-96.337366", "🔗 Ver Mapa")</f>
        <v>🔗 Ver Mapa</v>
      </c>
    </row>
    <row r="2481" spans="1:12" ht="43.5" x14ac:dyDescent="0.35">
      <c r="A2481" s="5" t="s">
        <v>4</v>
      </c>
      <c r="B2481" s="5" t="s">
        <v>17</v>
      </c>
      <c r="C2481" s="5" t="s">
        <v>1340</v>
      </c>
      <c r="D2481" s="8" t="s">
        <v>64</v>
      </c>
      <c r="E2481" s="16" t="s">
        <v>79</v>
      </c>
      <c r="F2481" s="16" t="s">
        <v>195</v>
      </c>
      <c r="G2481" s="8" t="s">
        <v>1341</v>
      </c>
      <c r="H2481" s="8" t="s">
        <v>1342</v>
      </c>
      <c r="I2481" s="16" t="s">
        <v>296</v>
      </c>
      <c r="J2481" s="16">
        <v>16.254878999999999</v>
      </c>
      <c r="K2481" s="16">
        <v>-96.337243999999998</v>
      </c>
      <c r="L2481" s="16" t="str">
        <f>HYPERLINK("https://maps.google.com/?q=16.254879,-96.337244", "🔗 Ver Mapa")</f>
        <v>🔗 Ver Mapa</v>
      </c>
    </row>
    <row r="2482" spans="1:12" ht="43.5" x14ac:dyDescent="0.35">
      <c r="A2482" s="6" t="s">
        <v>4</v>
      </c>
      <c r="B2482" s="6" t="s">
        <v>17</v>
      </c>
      <c r="C2482" s="6" t="s">
        <v>1340</v>
      </c>
      <c r="D2482" s="11" t="s">
        <v>64</v>
      </c>
      <c r="E2482" s="17" t="s">
        <v>79</v>
      </c>
      <c r="F2482" s="17" t="s">
        <v>195</v>
      </c>
      <c r="G2482" s="11" t="s">
        <v>1341</v>
      </c>
      <c r="H2482" s="11" t="s">
        <v>1342</v>
      </c>
      <c r="I2482" s="17" t="s">
        <v>296</v>
      </c>
      <c r="J2482" s="17">
        <v>16.255015</v>
      </c>
      <c r="K2482" s="17">
        <v>-96.324612000000002</v>
      </c>
      <c r="L2482" s="17" t="str">
        <f>HYPERLINK("https://maps.google.com/?q=16.255015,-96.324612", "🔗 Ver Mapa")</f>
        <v>🔗 Ver Mapa</v>
      </c>
    </row>
    <row r="2483" spans="1:12" ht="43.5" x14ac:dyDescent="0.35">
      <c r="A2483" s="5" t="s">
        <v>4</v>
      </c>
      <c r="B2483" s="5" t="s">
        <v>17</v>
      </c>
      <c r="C2483" s="5" t="s">
        <v>1340</v>
      </c>
      <c r="D2483" s="8" t="s">
        <v>64</v>
      </c>
      <c r="E2483" s="16" t="s">
        <v>79</v>
      </c>
      <c r="F2483" s="16" t="s">
        <v>195</v>
      </c>
      <c r="G2483" s="8" t="s">
        <v>1341</v>
      </c>
      <c r="H2483" s="8" t="s">
        <v>1342</v>
      </c>
      <c r="I2483" s="16" t="s">
        <v>296</v>
      </c>
      <c r="J2483" s="16">
        <v>16.255134000000002</v>
      </c>
      <c r="K2483" s="16">
        <v>-96.324406999999994</v>
      </c>
      <c r="L2483" s="16" t="str">
        <f>HYPERLINK("https://maps.google.com/?q=16.255134,-96.324407", "🔗 Ver Mapa")</f>
        <v>🔗 Ver Mapa</v>
      </c>
    </row>
    <row r="2484" spans="1:12" ht="43.5" x14ac:dyDescent="0.35">
      <c r="A2484" s="6" t="s">
        <v>4</v>
      </c>
      <c r="B2484" s="6" t="s">
        <v>17</v>
      </c>
      <c r="C2484" s="6" t="s">
        <v>1340</v>
      </c>
      <c r="D2484" s="11" t="s">
        <v>64</v>
      </c>
      <c r="E2484" s="17" t="s">
        <v>79</v>
      </c>
      <c r="F2484" s="17" t="s">
        <v>195</v>
      </c>
      <c r="G2484" s="11" t="s">
        <v>1341</v>
      </c>
      <c r="H2484" s="11" t="s">
        <v>1342</v>
      </c>
      <c r="I2484" s="17" t="s">
        <v>296</v>
      </c>
      <c r="J2484" s="17">
        <v>16.255172000000002</v>
      </c>
      <c r="K2484" s="17">
        <v>-96.324222000000006</v>
      </c>
      <c r="L2484" s="17" t="str">
        <f>HYPERLINK("https://maps.google.com/?q=16.255172,-96.324222", "🔗 Ver Mapa")</f>
        <v>🔗 Ver Mapa</v>
      </c>
    </row>
    <row r="2485" spans="1:12" ht="43.5" x14ac:dyDescent="0.35">
      <c r="A2485" s="5" t="s">
        <v>4</v>
      </c>
      <c r="B2485" s="5" t="s">
        <v>17</v>
      </c>
      <c r="C2485" s="5" t="s">
        <v>1340</v>
      </c>
      <c r="D2485" s="8" t="s">
        <v>64</v>
      </c>
      <c r="E2485" s="16" t="s">
        <v>79</v>
      </c>
      <c r="F2485" s="16" t="s">
        <v>195</v>
      </c>
      <c r="G2485" s="8" t="s">
        <v>1341</v>
      </c>
      <c r="H2485" s="8" t="s">
        <v>1342</v>
      </c>
      <c r="I2485" s="16" t="s">
        <v>296</v>
      </c>
      <c r="J2485" s="16">
        <v>16.255434000000001</v>
      </c>
      <c r="K2485" s="16">
        <v>-96.323796999999999</v>
      </c>
      <c r="L2485" s="16" t="str">
        <f>HYPERLINK("https://maps.google.com/?q=16.255434,-96.323797", "🔗 Ver Mapa")</f>
        <v>🔗 Ver Mapa</v>
      </c>
    </row>
    <row r="2486" spans="1:12" ht="43.5" x14ac:dyDescent="0.35">
      <c r="A2486" s="6" t="s">
        <v>4</v>
      </c>
      <c r="B2486" s="6" t="s">
        <v>17</v>
      </c>
      <c r="C2486" s="6" t="s">
        <v>1340</v>
      </c>
      <c r="D2486" s="11" t="s">
        <v>64</v>
      </c>
      <c r="E2486" s="17" t="s">
        <v>79</v>
      </c>
      <c r="F2486" s="17" t="s">
        <v>195</v>
      </c>
      <c r="G2486" s="11" t="s">
        <v>1341</v>
      </c>
      <c r="H2486" s="11" t="s">
        <v>1342</v>
      </c>
      <c r="I2486" s="17" t="s">
        <v>296</v>
      </c>
      <c r="J2486" s="17">
        <v>16.255559000000002</v>
      </c>
      <c r="K2486" s="17">
        <v>-96.323471999999995</v>
      </c>
      <c r="L2486" s="17" t="str">
        <f>HYPERLINK("https://maps.google.com/?q=16.255559,-96.323472", "🔗 Ver Mapa")</f>
        <v>🔗 Ver Mapa</v>
      </c>
    </row>
    <row r="2487" spans="1:12" ht="43.5" x14ac:dyDescent="0.35">
      <c r="A2487" s="5" t="s">
        <v>4</v>
      </c>
      <c r="B2487" s="5" t="s">
        <v>17</v>
      </c>
      <c r="C2487" s="5" t="s">
        <v>1340</v>
      </c>
      <c r="D2487" s="8" t="s">
        <v>64</v>
      </c>
      <c r="E2487" s="16" t="s">
        <v>79</v>
      </c>
      <c r="F2487" s="16" t="s">
        <v>195</v>
      </c>
      <c r="G2487" s="8" t="s">
        <v>1341</v>
      </c>
      <c r="H2487" s="8" t="s">
        <v>1342</v>
      </c>
      <c r="I2487" s="16" t="s">
        <v>296</v>
      </c>
      <c r="J2487" s="16">
        <v>16.255658</v>
      </c>
      <c r="K2487" s="16">
        <v>-96.323065</v>
      </c>
      <c r="L2487" s="16" t="str">
        <f>HYPERLINK("https://maps.google.com/?q=16.255658,-96.323065", "🔗 Ver Mapa")</f>
        <v>🔗 Ver Mapa</v>
      </c>
    </row>
    <row r="2488" spans="1:12" ht="43.5" x14ac:dyDescent="0.35">
      <c r="A2488" s="6" t="s">
        <v>4</v>
      </c>
      <c r="B2488" s="6" t="s">
        <v>17</v>
      </c>
      <c r="C2488" s="6" t="s">
        <v>1340</v>
      </c>
      <c r="D2488" s="11" t="s">
        <v>64</v>
      </c>
      <c r="E2488" s="17" t="s">
        <v>79</v>
      </c>
      <c r="F2488" s="17" t="s">
        <v>195</v>
      </c>
      <c r="G2488" s="11" t="s">
        <v>1341</v>
      </c>
      <c r="H2488" s="11" t="s">
        <v>1342</v>
      </c>
      <c r="I2488" s="17" t="s">
        <v>296</v>
      </c>
      <c r="J2488" s="17">
        <v>16.255752000000001</v>
      </c>
      <c r="K2488" s="17">
        <v>-96.322723999999994</v>
      </c>
      <c r="L2488" s="17" t="str">
        <f>HYPERLINK("https://maps.google.com/?q=16.255752,-96.322724", "🔗 Ver Mapa")</f>
        <v>🔗 Ver Mapa</v>
      </c>
    </row>
    <row r="2489" spans="1:12" ht="43.5" x14ac:dyDescent="0.35">
      <c r="A2489" s="5" t="s">
        <v>4</v>
      </c>
      <c r="B2489" s="5" t="s">
        <v>17</v>
      </c>
      <c r="C2489" s="5" t="s">
        <v>1340</v>
      </c>
      <c r="D2489" s="8" t="s">
        <v>64</v>
      </c>
      <c r="E2489" s="16" t="s">
        <v>79</v>
      </c>
      <c r="F2489" s="16" t="s">
        <v>195</v>
      </c>
      <c r="G2489" s="8" t="s">
        <v>1341</v>
      </c>
      <c r="H2489" s="8" t="s">
        <v>1342</v>
      </c>
      <c r="I2489" s="16" t="s">
        <v>296</v>
      </c>
      <c r="J2489" s="16">
        <v>16.256208999999998</v>
      </c>
      <c r="K2489" s="16">
        <v>-96.322052999999997</v>
      </c>
      <c r="L2489" s="16" t="str">
        <f>HYPERLINK("https://maps.google.com/?q=16.256209,-96.322053", "🔗 Ver Mapa")</f>
        <v>🔗 Ver Mapa</v>
      </c>
    </row>
    <row r="2490" spans="1:12" ht="43.5" x14ac:dyDescent="0.35">
      <c r="A2490" s="6" t="s">
        <v>4</v>
      </c>
      <c r="B2490" s="6" t="s">
        <v>17</v>
      </c>
      <c r="C2490" s="6" t="s">
        <v>1340</v>
      </c>
      <c r="D2490" s="11" t="s">
        <v>64</v>
      </c>
      <c r="E2490" s="17" t="s">
        <v>79</v>
      </c>
      <c r="F2490" s="17" t="s">
        <v>195</v>
      </c>
      <c r="G2490" s="11" t="s">
        <v>1341</v>
      </c>
      <c r="H2490" s="11" t="s">
        <v>1342</v>
      </c>
      <c r="I2490" s="17" t="s">
        <v>296</v>
      </c>
      <c r="J2490" s="17">
        <v>16.256706000000001</v>
      </c>
      <c r="K2490" s="17">
        <v>-96.320772000000005</v>
      </c>
      <c r="L2490" s="17" t="str">
        <f>HYPERLINK("https://maps.google.com/?q=16.256706,-96.320772", "🔗 Ver Mapa")</f>
        <v>🔗 Ver Mapa</v>
      </c>
    </row>
    <row r="2491" spans="1:12" ht="43.5" x14ac:dyDescent="0.35">
      <c r="A2491" s="5" t="s">
        <v>4</v>
      </c>
      <c r="B2491" s="5" t="s">
        <v>17</v>
      </c>
      <c r="C2491" s="5" t="s">
        <v>1340</v>
      </c>
      <c r="D2491" s="8" t="s">
        <v>64</v>
      </c>
      <c r="E2491" s="16" t="s">
        <v>79</v>
      </c>
      <c r="F2491" s="16" t="s">
        <v>195</v>
      </c>
      <c r="G2491" s="8" t="s">
        <v>1341</v>
      </c>
      <c r="H2491" s="8" t="s">
        <v>1342</v>
      </c>
      <c r="I2491" s="16" t="s">
        <v>296</v>
      </c>
      <c r="J2491" s="16">
        <v>16.256727999999999</v>
      </c>
      <c r="K2491" s="16">
        <v>-96.321163999999996</v>
      </c>
      <c r="L2491" s="16" t="str">
        <f>HYPERLINK("https://maps.google.com/?q=16.256728,-96.321164", "🔗 Ver Mapa")</f>
        <v>🔗 Ver Mapa</v>
      </c>
    </row>
    <row r="2492" spans="1:12" ht="43.5" x14ac:dyDescent="0.35">
      <c r="A2492" s="6" t="s">
        <v>4</v>
      </c>
      <c r="B2492" s="6" t="s">
        <v>17</v>
      </c>
      <c r="C2492" s="6" t="s">
        <v>1340</v>
      </c>
      <c r="D2492" s="11" t="s">
        <v>64</v>
      </c>
      <c r="E2492" s="17" t="s">
        <v>79</v>
      </c>
      <c r="F2492" s="17" t="s">
        <v>195</v>
      </c>
      <c r="G2492" s="11" t="s">
        <v>1341</v>
      </c>
      <c r="H2492" s="11" t="s">
        <v>1342</v>
      </c>
      <c r="I2492" s="17" t="s">
        <v>296</v>
      </c>
      <c r="J2492" s="17">
        <v>16.256810999999999</v>
      </c>
      <c r="K2492" s="17">
        <v>-96.320301999999998</v>
      </c>
      <c r="L2492" s="17" t="str">
        <f>HYPERLINK("https://maps.google.com/?q=16.256811,-96.320302", "🔗 Ver Mapa")</f>
        <v>🔗 Ver Mapa</v>
      </c>
    </row>
    <row r="2493" spans="1:12" ht="43.5" x14ac:dyDescent="0.35">
      <c r="A2493" s="5" t="s">
        <v>4</v>
      </c>
      <c r="B2493" s="5" t="s">
        <v>17</v>
      </c>
      <c r="C2493" s="5" t="s">
        <v>1340</v>
      </c>
      <c r="D2493" s="8" t="s">
        <v>64</v>
      </c>
      <c r="E2493" s="16" t="s">
        <v>79</v>
      </c>
      <c r="F2493" s="16" t="s">
        <v>195</v>
      </c>
      <c r="G2493" s="8" t="s">
        <v>1341</v>
      </c>
      <c r="H2493" s="8" t="s">
        <v>1342</v>
      </c>
      <c r="I2493" s="16" t="s">
        <v>296</v>
      </c>
      <c r="J2493" s="16">
        <v>16.256899000000001</v>
      </c>
      <c r="K2493" s="16">
        <v>-96.318952999999993</v>
      </c>
      <c r="L2493" s="16" t="str">
        <f>HYPERLINK("https://maps.google.com/?q=16.256899,-96.318953", "🔗 Ver Mapa")</f>
        <v>🔗 Ver Mapa</v>
      </c>
    </row>
    <row r="2494" spans="1:12" ht="43.5" x14ac:dyDescent="0.35">
      <c r="A2494" s="6" t="s">
        <v>4</v>
      </c>
      <c r="B2494" s="6" t="s">
        <v>17</v>
      </c>
      <c r="C2494" s="6" t="s">
        <v>1340</v>
      </c>
      <c r="D2494" s="11" t="s">
        <v>64</v>
      </c>
      <c r="E2494" s="17" t="s">
        <v>79</v>
      </c>
      <c r="F2494" s="17" t="s">
        <v>195</v>
      </c>
      <c r="G2494" s="11" t="s">
        <v>1341</v>
      </c>
      <c r="H2494" s="11" t="s">
        <v>1342</v>
      </c>
      <c r="I2494" s="17" t="s">
        <v>296</v>
      </c>
      <c r="J2494" s="17">
        <v>16.257052999999999</v>
      </c>
      <c r="K2494" s="17">
        <v>-96.318700000000007</v>
      </c>
      <c r="L2494" s="17" t="str">
        <f>HYPERLINK("https://maps.google.com/?q=16.257053,-96.3187", "🔗 Ver Mapa")</f>
        <v>🔗 Ver Mapa</v>
      </c>
    </row>
    <row r="2495" spans="1:12" ht="43.5" x14ac:dyDescent="0.35">
      <c r="A2495" s="5" t="s">
        <v>4</v>
      </c>
      <c r="B2495" s="5" t="s">
        <v>17</v>
      </c>
      <c r="C2495" s="5" t="s">
        <v>1340</v>
      </c>
      <c r="D2495" s="8" t="s">
        <v>64</v>
      </c>
      <c r="E2495" s="16" t="s">
        <v>79</v>
      </c>
      <c r="F2495" s="16" t="s">
        <v>195</v>
      </c>
      <c r="G2495" s="8" t="s">
        <v>1341</v>
      </c>
      <c r="H2495" s="8" t="s">
        <v>1342</v>
      </c>
      <c r="I2495" s="16" t="s">
        <v>296</v>
      </c>
      <c r="J2495" s="16">
        <v>16.257315999999999</v>
      </c>
      <c r="K2495" s="16">
        <v>-96.316365000000005</v>
      </c>
      <c r="L2495" s="16" t="str">
        <f>HYPERLINK("https://maps.google.com/?q=16.257316,-96.316365", "🔗 Ver Mapa")</f>
        <v>🔗 Ver Mapa</v>
      </c>
    </row>
    <row r="2496" spans="1:12" ht="43.5" x14ac:dyDescent="0.35">
      <c r="A2496" s="6" t="s">
        <v>4</v>
      </c>
      <c r="B2496" s="6" t="s">
        <v>17</v>
      </c>
      <c r="C2496" s="6" t="s">
        <v>1340</v>
      </c>
      <c r="D2496" s="11" t="s">
        <v>64</v>
      </c>
      <c r="E2496" s="17" t="s">
        <v>79</v>
      </c>
      <c r="F2496" s="17" t="s">
        <v>195</v>
      </c>
      <c r="G2496" s="11" t="s">
        <v>1341</v>
      </c>
      <c r="H2496" s="11" t="s">
        <v>1342</v>
      </c>
      <c r="I2496" s="17" t="s">
        <v>296</v>
      </c>
      <c r="J2496" s="17">
        <v>16.257318000000001</v>
      </c>
      <c r="K2496" s="17">
        <v>-96.316283999999996</v>
      </c>
      <c r="L2496" s="17" t="str">
        <f>HYPERLINK("https://maps.google.com/?q=16.257318,-96.316284", "🔗 Ver Mapa")</f>
        <v>🔗 Ver Mapa</v>
      </c>
    </row>
    <row r="2497" spans="1:12" ht="43.5" x14ac:dyDescent="0.35">
      <c r="A2497" s="5" t="s">
        <v>4</v>
      </c>
      <c r="B2497" s="5" t="s">
        <v>17</v>
      </c>
      <c r="C2497" s="5" t="s">
        <v>1340</v>
      </c>
      <c r="D2497" s="8" t="s">
        <v>64</v>
      </c>
      <c r="E2497" s="16" t="s">
        <v>79</v>
      </c>
      <c r="F2497" s="16" t="s">
        <v>195</v>
      </c>
      <c r="G2497" s="8" t="s">
        <v>1341</v>
      </c>
      <c r="H2497" s="8" t="s">
        <v>1342</v>
      </c>
      <c r="I2497" s="16" t="s">
        <v>296</v>
      </c>
      <c r="J2497" s="16">
        <v>16.257411999999999</v>
      </c>
      <c r="K2497" s="16">
        <v>-96.316259000000002</v>
      </c>
      <c r="L2497" s="16" t="str">
        <f>HYPERLINK("https://maps.google.com/?q=16.257412,-96.316259", "🔗 Ver Mapa")</f>
        <v>🔗 Ver Mapa</v>
      </c>
    </row>
    <row r="2498" spans="1:12" ht="43.5" x14ac:dyDescent="0.35">
      <c r="A2498" s="6" t="s">
        <v>4</v>
      </c>
      <c r="B2498" s="6" t="s">
        <v>17</v>
      </c>
      <c r="C2498" s="6" t="s">
        <v>1340</v>
      </c>
      <c r="D2498" s="11" t="s">
        <v>64</v>
      </c>
      <c r="E2498" s="17" t="s">
        <v>79</v>
      </c>
      <c r="F2498" s="17" t="s">
        <v>195</v>
      </c>
      <c r="G2498" s="11" t="s">
        <v>1341</v>
      </c>
      <c r="H2498" s="11" t="s">
        <v>1342</v>
      </c>
      <c r="I2498" s="17" t="s">
        <v>296</v>
      </c>
      <c r="J2498" s="17">
        <v>16.257417</v>
      </c>
      <c r="K2498" s="17">
        <v>-96.318433999999996</v>
      </c>
      <c r="L2498" s="17" t="str">
        <f>HYPERLINK("https://maps.google.com/?q=16.257417,-96.318434", "🔗 Ver Mapa")</f>
        <v>🔗 Ver Mapa</v>
      </c>
    </row>
    <row r="2499" spans="1:12" ht="43.5" x14ac:dyDescent="0.35">
      <c r="A2499" s="5" t="s">
        <v>4</v>
      </c>
      <c r="B2499" s="5" t="s">
        <v>17</v>
      </c>
      <c r="C2499" s="5" t="s">
        <v>1340</v>
      </c>
      <c r="D2499" s="8" t="s">
        <v>64</v>
      </c>
      <c r="E2499" s="16" t="s">
        <v>79</v>
      </c>
      <c r="F2499" s="16" t="s">
        <v>195</v>
      </c>
      <c r="G2499" s="8" t="s">
        <v>1341</v>
      </c>
      <c r="H2499" s="8" t="s">
        <v>1342</v>
      </c>
      <c r="I2499" s="16" t="s">
        <v>296</v>
      </c>
      <c r="J2499" s="16">
        <v>16.257555</v>
      </c>
      <c r="K2499" s="16">
        <v>-96.316721000000001</v>
      </c>
      <c r="L2499" s="16" t="str">
        <f>HYPERLINK("https://maps.google.com/?q=16.257555,-96.316721", "🔗 Ver Mapa")</f>
        <v>🔗 Ver Mapa</v>
      </c>
    </row>
    <row r="2500" spans="1:12" ht="43.5" x14ac:dyDescent="0.35">
      <c r="A2500" s="6" t="s">
        <v>4</v>
      </c>
      <c r="B2500" s="6" t="s">
        <v>17</v>
      </c>
      <c r="C2500" s="6" t="s">
        <v>1340</v>
      </c>
      <c r="D2500" s="11" t="s">
        <v>64</v>
      </c>
      <c r="E2500" s="17" t="s">
        <v>79</v>
      </c>
      <c r="F2500" s="17" t="s">
        <v>195</v>
      </c>
      <c r="G2500" s="11" t="s">
        <v>1341</v>
      </c>
      <c r="H2500" s="11" t="s">
        <v>1342</v>
      </c>
      <c r="I2500" s="17" t="s">
        <v>296</v>
      </c>
      <c r="J2500" s="17">
        <v>16.257591000000001</v>
      </c>
      <c r="K2500" s="17">
        <v>-96.318155000000004</v>
      </c>
      <c r="L2500" s="17" t="str">
        <f>HYPERLINK("https://maps.google.com/?q=16.257591,-96.318155", "🔗 Ver Mapa")</f>
        <v>🔗 Ver Mapa</v>
      </c>
    </row>
    <row r="2501" spans="1:12" ht="43.5" x14ac:dyDescent="0.35">
      <c r="A2501" s="5" t="s">
        <v>4</v>
      </c>
      <c r="B2501" s="5" t="s">
        <v>17</v>
      </c>
      <c r="C2501" s="5" t="s">
        <v>1340</v>
      </c>
      <c r="D2501" s="8" t="s">
        <v>64</v>
      </c>
      <c r="E2501" s="16" t="s">
        <v>79</v>
      </c>
      <c r="F2501" s="16" t="s">
        <v>195</v>
      </c>
      <c r="G2501" s="8" t="s">
        <v>1341</v>
      </c>
      <c r="H2501" s="8" t="s">
        <v>1342</v>
      </c>
      <c r="I2501" s="16" t="s">
        <v>296</v>
      </c>
      <c r="J2501" s="16">
        <v>16.257697</v>
      </c>
      <c r="K2501" s="16">
        <v>-96.316811000000001</v>
      </c>
      <c r="L2501" s="16" t="str">
        <f>HYPERLINK("https://maps.google.com/?q=16.257697,-96.316811", "🔗 Ver Mapa")</f>
        <v>🔗 Ver Mapa</v>
      </c>
    </row>
    <row r="2502" spans="1:12" ht="43.5" x14ac:dyDescent="0.35">
      <c r="A2502" s="6" t="s">
        <v>4</v>
      </c>
      <c r="B2502" s="6" t="s">
        <v>17</v>
      </c>
      <c r="C2502" s="6" t="s">
        <v>1340</v>
      </c>
      <c r="D2502" s="11" t="s">
        <v>64</v>
      </c>
      <c r="E2502" s="17" t="s">
        <v>79</v>
      </c>
      <c r="F2502" s="17" t="s">
        <v>195</v>
      </c>
      <c r="G2502" s="11" t="s">
        <v>1341</v>
      </c>
      <c r="H2502" s="11" t="s">
        <v>1342</v>
      </c>
      <c r="I2502" s="17" t="s">
        <v>296</v>
      </c>
      <c r="J2502" s="17">
        <v>16.257832000000001</v>
      </c>
      <c r="K2502" s="17">
        <v>-96.317120000000003</v>
      </c>
      <c r="L2502" s="17" t="str">
        <f>HYPERLINK("https://maps.google.com/?q=16.257832,-96.31712", "🔗 Ver Mapa")</f>
        <v>🔗 Ver Mapa</v>
      </c>
    </row>
    <row r="2503" spans="1:12" ht="43.5" x14ac:dyDescent="0.35">
      <c r="A2503" s="5" t="s">
        <v>4</v>
      </c>
      <c r="B2503" s="5" t="s">
        <v>17</v>
      </c>
      <c r="C2503" s="5" t="s">
        <v>1340</v>
      </c>
      <c r="D2503" s="8" t="s">
        <v>64</v>
      </c>
      <c r="E2503" s="16" t="s">
        <v>79</v>
      </c>
      <c r="F2503" s="16" t="s">
        <v>195</v>
      </c>
      <c r="G2503" s="8" t="s">
        <v>1341</v>
      </c>
      <c r="H2503" s="8" t="s">
        <v>1342</v>
      </c>
      <c r="I2503" s="16" t="s">
        <v>296</v>
      </c>
      <c r="J2503" s="16">
        <v>16.257901</v>
      </c>
      <c r="K2503" s="16">
        <v>-96.316168000000005</v>
      </c>
      <c r="L2503" s="16" t="str">
        <f>HYPERLINK("https://maps.google.com/?q=16.257901,-96.316168", "🔗 Ver Mapa")</f>
        <v>🔗 Ver Mapa</v>
      </c>
    </row>
    <row r="2504" spans="1:12" ht="43.5" x14ac:dyDescent="0.35">
      <c r="A2504" s="6" t="s">
        <v>4</v>
      </c>
      <c r="B2504" s="6" t="s">
        <v>17</v>
      </c>
      <c r="C2504" s="6" t="s">
        <v>1340</v>
      </c>
      <c r="D2504" s="11" t="s">
        <v>64</v>
      </c>
      <c r="E2504" s="17" t="s">
        <v>79</v>
      </c>
      <c r="F2504" s="17" t="s">
        <v>195</v>
      </c>
      <c r="G2504" s="11" t="s">
        <v>1341</v>
      </c>
      <c r="H2504" s="11" t="s">
        <v>1342</v>
      </c>
      <c r="I2504" s="17" t="s">
        <v>296</v>
      </c>
      <c r="J2504" s="17">
        <v>16.258126000000001</v>
      </c>
      <c r="K2504" s="17">
        <v>-96.316163000000003</v>
      </c>
      <c r="L2504" s="17" t="str">
        <f>HYPERLINK("https://maps.google.com/?q=16.258126,-96.316163", "🔗 Ver Mapa")</f>
        <v>🔗 Ver Mapa</v>
      </c>
    </row>
    <row r="2505" spans="1:12" ht="43.5" x14ac:dyDescent="0.35">
      <c r="A2505" s="5" t="s">
        <v>4</v>
      </c>
      <c r="B2505" s="5" t="s">
        <v>17</v>
      </c>
      <c r="C2505" s="5" t="s">
        <v>1340</v>
      </c>
      <c r="D2505" s="8" t="s">
        <v>64</v>
      </c>
      <c r="E2505" s="16" t="s">
        <v>79</v>
      </c>
      <c r="F2505" s="16" t="s">
        <v>195</v>
      </c>
      <c r="G2505" s="8" t="s">
        <v>1341</v>
      </c>
      <c r="H2505" s="8" t="s">
        <v>1342</v>
      </c>
      <c r="I2505" s="16" t="s">
        <v>296</v>
      </c>
      <c r="J2505" s="16">
        <v>16.258596000000001</v>
      </c>
      <c r="K2505" s="16">
        <v>-96.315933000000001</v>
      </c>
      <c r="L2505" s="16" t="str">
        <f>HYPERLINK("https://maps.google.com/?q=16.258596,-96.315933", "🔗 Ver Mapa")</f>
        <v>🔗 Ver Mapa</v>
      </c>
    </row>
    <row r="2506" spans="1:12" ht="43.5" x14ac:dyDescent="0.35">
      <c r="A2506" s="6" t="s">
        <v>4</v>
      </c>
      <c r="B2506" s="6" t="s">
        <v>17</v>
      </c>
      <c r="C2506" s="6" t="s">
        <v>1340</v>
      </c>
      <c r="D2506" s="11" t="s">
        <v>64</v>
      </c>
      <c r="E2506" s="17" t="s">
        <v>79</v>
      </c>
      <c r="F2506" s="17" t="s">
        <v>195</v>
      </c>
      <c r="G2506" s="11" t="s">
        <v>1341</v>
      </c>
      <c r="H2506" s="11" t="s">
        <v>1342</v>
      </c>
      <c r="I2506" s="17" t="s">
        <v>296</v>
      </c>
      <c r="J2506" s="17">
        <v>16.259335</v>
      </c>
      <c r="K2506" s="17">
        <v>-96.315351000000007</v>
      </c>
      <c r="L2506" s="17" t="str">
        <f>HYPERLINK("https://maps.google.com/?q=16.259335,-96.315351", "🔗 Ver Mapa")</f>
        <v>🔗 Ver Mapa</v>
      </c>
    </row>
    <row r="2507" spans="1:12" ht="43.5" x14ac:dyDescent="0.35">
      <c r="A2507" s="5" t="s">
        <v>4</v>
      </c>
      <c r="B2507" s="5" t="s">
        <v>17</v>
      </c>
      <c r="C2507" s="5" t="s">
        <v>1340</v>
      </c>
      <c r="D2507" s="8" t="s">
        <v>64</v>
      </c>
      <c r="E2507" s="16" t="s">
        <v>79</v>
      </c>
      <c r="F2507" s="16" t="s">
        <v>195</v>
      </c>
      <c r="G2507" s="8" t="s">
        <v>1341</v>
      </c>
      <c r="H2507" s="8" t="s">
        <v>1342</v>
      </c>
      <c r="I2507" s="16" t="s">
        <v>296</v>
      </c>
      <c r="J2507" s="16">
        <v>16.259737999999999</v>
      </c>
      <c r="K2507" s="16">
        <v>-96.315121000000005</v>
      </c>
      <c r="L2507" s="16" t="str">
        <f>HYPERLINK("https://maps.google.com/?q=16.259738,-96.315121", "🔗 Ver Mapa")</f>
        <v>🔗 Ver Mapa</v>
      </c>
    </row>
    <row r="2508" spans="1:12" ht="43.5" x14ac:dyDescent="0.35">
      <c r="A2508" s="6" t="s">
        <v>4</v>
      </c>
      <c r="B2508" s="6" t="s">
        <v>17</v>
      </c>
      <c r="C2508" s="6" t="s">
        <v>1340</v>
      </c>
      <c r="D2508" s="11" t="s">
        <v>64</v>
      </c>
      <c r="E2508" s="17" t="s">
        <v>79</v>
      </c>
      <c r="F2508" s="17" t="s">
        <v>195</v>
      </c>
      <c r="G2508" s="11" t="s">
        <v>1341</v>
      </c>
      <c r="H2508" s="11" t="s">
        <v>1342</v>
      </c>
      <c r="I2508" s="17" t="s">
        <v>296</v>
      </c>
      <c r="J2508" s="17">
        <v>16.260387999999999</v>
      </c>
      <c r="K2508" s="17">
        <v>-96.314662999999996</v>
      </c>
      <c r="L2508" s="17" t="str">
        <f>HYPERLINK("https://maps.google.com/?q=16.260388,-96.314663", "🔗 Ver Mapa")</f>
        <v>🔗 Ver Mapa</v>
      </c>
    </row>
    <row r="2509" spans="1:12" ht="43.5" x14ac:dyDescent="0.35">
      <c r="A2509" s="5" t="s">
        <v>4</v>
      </c>
      <c r="B2509" s="5" t="s">
        <v>17</v>
      </c>
      <c r="C2509" s="5" t="s">
        <v>1340</v>
      </c>
      <c r="D2509" s="8" t="s">
        <v>64</v>
      </c>
      <c r="E2509" s="16" t="s">
        <v>79</v>
      </c>
      <c r="F2509" s="16" t="s">
        <v>195</v>
      </c>
      <c r="G2509" s="8" t="s">
        <v>1341</v>
      </c>
      <c r="H2509" s="8" t="s">
        <v>1342</v>
      </c>
      <c r="I2509" s="16" t="s">
        <v>296</v>
      </c>
      <c r="J2509" s="16">
        <v>16.260726999999999</v>
      </c>
      <c r="K2509" s="16">
        <v>-96.313433000000003</v>
      </c>
      <c r="L2509" s="16" t="str">
        <f>HYPERLINK("https://maps.google.com/?q=16.260727,-96.313433", "🔗 Ver Mapa")</f>
        <v>🔗 Ver Mapa</v>
      </c>
    </row>
    <row r="2510" spans="1:12" ht="43.5" x14ac:dyDescent="0.35">
      <c r="A2510" s="6" t="s">
        <v>4</v>
      </c>
      <c r="B2510" s="6" t="s">
        <v>17</v>
      </c>
      <c r="C2510" s="6" t="s">
        <v>1340</v>
      </c>
      <c r="D2510" s="11" t="s">
        <v>64</v>
      </c>
      <c r="E2510" s="17" t="s">
        <v>79</v>
      </c>
      <c r="F2510" s="17" t="s">
        <v>195</v>
      </c>
      <c r="G2510" s="11" t="s">
        <v>1341</v>
      </c>
      <c r="H2510" s="11" t="s">
        <v>1342</v>
      </c>
      <c r="I2510" s="17" t="s">
        <v>296</v>
      </c>
      <c r="J2510" s="17">
        <v>16.260950999999999</v>
      </c>
      <c r="K2510" s="17">
        <v>-96.312955000000002</v>
      </c>
      <c r="L2510" s="17" t="str">
        <f>HYPERLINK("https://maps.google.com/?q=16.260951,-96.312955", "🔗 Ver Mapa")</f>
        <v>🔗 Ver Mapa</v>
      </c>
    </row>
    <row r="2511" spans="1:12" ht="43.5" x14ac:dyDescent="0.35">
      <c r="A2511" s="5" t="s">
        <v>4</v>
      </c>
      <c r="B2511" s="5" t="s">
        <v>17</v>
      </c>
      <c r="C2511" s="5" t="s">
        <v>1340</v>
      </c>
      <c r="D2511" s="8" t="s">
        <v>64</v>
      </c>
      <c r="E2511" s="16" t="s">
        <v>79</v>
      </c>
      <c r="F2511" s="16" t="s">
        <v>195</v>
      </c>
      <c r="G2511" s="8" t="s">
        <v>1341</v>
      </c>
      <c r="H2511" s="8" t="s">
        <v>1342</v>
      </c>
      <c r="I2511" s="16" t="s">
        <v>296</v>
      </c>
      <c r="J2511" s="16">
        <v>16.261149</v>
      </c>
      <c r="K2511" s="16">
        <v>-96.312702999999999</v>
      </c>
      <c r="L2511" s="16" t="str">
        <f>HYPERLINK("https://maps.google.com/?q=16.261149,-96.312703", "🔗 Ver Mapa")</f>
        <v>🔗 Ver Mapa</v>
      </c>
    </row>
    <row r="2512" spans="1:12" ht="43.5" x14ac:dyDescent="0.35">
      <c r="A2512" s="6" t="s">
        <v>4</v>
      </c>
      <c r="B2512" s="6" t="s">
        <v>17</v>
      </c>
      <c r="C2512" s="6" t="s">
        <v>1340</v>
      </c>
      <c r="D2512" s="11" t="s">
        <v>64</v>
      </c>
      <c r="E2512" s="17" t="s">
        <v>79</v>
      </c>
      <c r="F2512" s="17" t="s">
        <v>195</v>
      </c>
      <c r="G2512" s="11" t="s">
        <v>1341</v>
      </c>
      <c r="H2512" s="11" t="s">
        <v>1342</v>
      </c>
      <c r="I2512" s="17" t="s">
        <v>296</v>
      </c>
      <c r="J2512" s="17">
        <v>16.261492000000001</v>
      </c>
      <c r="K2512" s="17">
        <v>-96.312441000000007</v>
      </c>
      <c r="L2512" s="17" t="str">
        <f>HYPERLINK("https://maps.google.com/?q=16.261492,-96.312441", "🔗 Ver Mapa")</f>
        <v>🔗 Ver Mapa</v>
      </c>
    </row>
    <row r="2513" spans="1:12" ht="43.5" x14ac:dyDescent="0.35">
      <c r="A2513" s="5" t="s">
        <v>4</v>
      </c>
      <c r="B2513" s="5" t="s">
        <v>17</v>
      </c>
      <c r="C2513" s="5" t="s">
        <v>1340</v>
      </c>
      <c r="D2513" s="8" t="s">
        <v>64</v>
      </c>
      <c r="E2513" s="16" t="s">
        <v>79</v>
      </c>
      <c r="F2513" s="16" t="s">
        <v>195</v>
      </c>
      <c r="G2513" s="8" t="s">
        <v>1341</v>
      </c>
      <c r="H2513" s="8" t="s">
        <v>1342</v>
      </c>
      <c r="I2513" s="16" t="s">
        <v>296</v>
      </c>
      <c r="J2513" s="16">
        <v>16.262352</v>
      </c>
      <c r="K2513" s="16">
        <v>-96.312005999999997</v>
      </c>
      <c r="L2513" s="16" t="str">
        <f>HYPERLINK("https://maps.google.com/?q=16.262352,-96.312006", "🔗 Ver Mapa")</f>
        <v>🔗 Ver Mapa</v>
      </c>
    </row>
    <row r="2514" spans="1:12" ht="43.5" x14ac:dyDescent="0.35">
      <c r="A2514" s="6" t="s">
        <v>4</v>
      </c>
      <c r="B2514" s="6" t="s">
        <v>17</v>
      </c>
      <c r="C2514" s="6" t="s">
        <v>1340</v>
      </c>
      <c r="D2514" s="11" t="s">
        <v>64</v>
      </c>
      <c r="E2514" s="17" t="s">
        <v>79</v>
      </c>
      <c r="F2514" s="17" t="s">
        <v>195</v>
      </c>
      <c r="G2514" s="11" t="s">
        <v>1341</v>
      </c>
      <c r="H2514" s="11" t="s">
        <v>1342</v>
      </c>
      <c r="I2514" s="17" t="s">
        <v>296</v>
      </c>
      <c r="J2514" s="17">
        <v>16.262767</v>
      </c>
      <c r="K2514" s="17">
        <v>-96.311588999999998</v>
      </c>
      <c r="L2514" s="17" t="str">
        <f>HYPERLINK("https://maps.google.com/?q=16.262767,-96.311589", "🔗 Ver Mapa")</f>
        <v>🔗 Ver Mapa</v>
      </c>
    </row>
    <row r="2515" spans="1:12" ht="43.5" x14ac:dyDescent="0.35">
      <c r="A2515" s="5" t="s">
        <v>4</v>
      </c>
      <c r="B2515" s="5" t="s">
        <v>17</v>
      </c>
      <c r="C2515" s="5" t="s">
        <v>1340</v>
      </c>
      <c r="D2515" s="8" t="s">
        <v>64</v>
      </c>
      <c r="E2515" s="16" t="s">
        <v>79</v>
      </c>
      <c r="F2515" s="16" t="s">
        <v>195</v>
      </c>
      <c r="G2515" s="8" t="s">
        <v>1341</v>
      </c>
      <c r="H2515" s="8" t="s">
        <v>1342</v>
      </c>
      <c r="I2515" s="16" t="s">
        <v>296</v>
      </c>
      <c r="J2515" s="16">
        <v>16.263120000000001</v>
      </c>
      <c r="K2515" s="16">
        <v>-96.311356000000004</v>
      </c>
      <c r="L2515" s="16" t="str">
        <f>HYPERLINK("https://maps.google.com/?q=16.26312,-96.311356", "🔗 Ver Mapa")</f>
        <v>🔗 Ver Mapa</v>
      </c>
    </row>
    <row r="2516" spans="1:12" ht="43.5" x14ac:dyDescent="0.35">
      <c r="A2516" s="6" t="s">
        <v>4</v>
      </c>
      <c r="B2516" s="6" t="s">
        <v>17</v>
      </c>
      <c r="C2516" s="6" t="s">
        <v>1340</v>
      </c>
      <c r="D2516" s="11" t="s">
        <v>64</v>
      </c>
      <c r="E2516" s="17" t="s">
        <v>79</v>
      </c>
      <c r="F2516" s="17" t="s">
        <v>195</v>
      </c>
      <c r="G2516" s="11" t="s">
        <v>1341</v>
      </c>
      <c r="H2516" s="11" t="s">
        <v>1342</v>
      </c>
      <c r="I2516" s="17" t="s">
        <v>296</v>
      </c>
      <c r="J2516" s="17">
        <v>16.263418000000001</v>
      </c>
      <c r="K2516" s="17">
        <v>-96.311070000000001</v>
      </c>
      <c r="L2516" s="17" t="str">
        <f>HYPERLINK("https://maps.google.com/?q=16.263418,-96.31107", "🔗 Ver Mapa")</f>
        <v>🔗 Ver Mapa</v>
      </c>
    </row>
    <row r="2517" spans="1:12" ht="43.5" x14ac:dyDescent="0.35">
      <c r="A2517" s="5" t="s">
        <v>4</v>
      </c>
      <c r="B2517" s="5" t="s">
        <v>17</v>
      </c>
      <c r="C2517" s="5" t="s">
        <v>1340</v>
      </c>
      <c r="D2517" s="8" t="s">
        <v>64</v>
      </c>
      <c r="E2517" s="16" t="s">
        <v>79</v>
      </c>
      <c r="F2517" s="16" t="s">
        <v>195</v>
      </c>
      <c r="G2517" s="8" t="s">
        <v>1341</v>
      </c>
      <c r="H2517" s="8" t="s">
        <v>1342</v>
      </c>
      <c r="I2517" s="16" t="s">
        <v>296</v>
      </c>
      <c r="J2517" s="16">
        <v>16.263641</v>
      </c>
      <c r="K2517" s="16">
        <v>-96.310931999999994</v>
      </c>
      <c r="L2517" s="16" t="str">
        <f>HYPERLINK("https://maps.google.com/?q=16.263641,-96.310932", "🔗 Ver Mapa")</f>
        <v>🔗 Ver Mapa</v>
      </c>
    </row>
    <row r="2518" spans="1:12" ht="43.5" x14ac:dyDescent="0.35">
      <c r="A2518" s="6" t="s">
        <v>4</v>
      </c>
      <c r="B2518" s="6" t="s">
        <v>17</v>
      </c>
      <c r="C2518" s="6" t="s">
        <v>1340</v>
      </c>
      <c r="D2518" s="11" t="s">
        <v>64</v>
      </c>
      <c r="E2518" s="17" t="s">
        <v>79</v>
      </c>
      <c r="F2518" s="17" t="s">
        <v>195</v>
      </c>
      <c r="G2518" s="11" t="s">
        <v>1341</v>
      </c>
      <c r="H2518" s="11" t="s">
        <v>1342</v>
      </c>
      <c r="I2518" s="17" t="s">
        <v>296</v>
      </c>
      <c r="J2518" s="17">
        <v>16.264341000000002</v>
      </c>
      <c r="K2518" s="17">
        <v>-96.310771000000003</v>
      </c>
      <c r="L2518" s="17" t="str">
        <f>HYPERLINK("https://maps.google.com/?q=16.264341,-96.310771", "🔗 Ver Mapa")</f>
        <v>🔗 Ver Mapa</v>
      </c>
    </row>
    <row r="2519" spans="1:12" ht="43.5" x14ac:dyDescent="0.35">
      <c r="A2519" s="5" t="s">
        <v>4</v>
      </c>
      <c r="B2519" s="5" t="s">
        <v>17</v>
      </c>
      <c r="C2519" s="5" t="s">
        <v>1340</v>
      </c>
      <c r="D2519" s="8" t="s">
        <v>64</v>
      </c>
      <c r="E2519" s="16" t="s">
        <v>79</v>
      </c>
      <c r="F2519" s="16" t="s">
        <v>195</v>
      </c>
      <c r="G2519" s="8" t="s">
        <v>1341</v>
      </c>
      <c r="H2519" s="8" t="s">
        <v>1342</v>
      </c>
      <c r="I2519" s="16" t="s">
        <v>296</v>
      </c>
      <c r="J2519" s="16">
        <v>16.264628999999999</v>
      </c>
      <c r="K2519" s="16">
        <v>-96.310642000000001</v>
      </c>
      <c r="L2519" s="16" t="str">
        <f>HYPERLINK("https://maps.google.com/?q=16.264629,-96.310642", "🔗 Ver Mapa")</f>
        <v>🔗 Ver Mapa</v>
      </c>
    </row>
    <row r="2520" spans="1:12" ht="43.5" x14ac:dyDescent="0.35">
      <c r="A2520" s="6" t="s">
        <v>4</v>
      </c>
      <c r="B2520" s="6" t="s">
        <v>17</v>
      </c>
      <c r="C2520" s="6" t="s">
        <v>1340</v>
      </c>
      <c r="D2520" s="11" t="s">
        <v>64</v>
      </c>
      <c r="E2520" s="17" t="s">
        <v>79</v>
      </c>
      <c r="F2520" s="17" t="s">
        <v>195</v>
      </c>
      <c r="G2520" s="11" t="s">
        <v>1341</v>
      </c>
      <c r="H2520" s="11" t="s">
        <v>1342</v>
      </c>
      <c r="I2520" s="17" t="s">
        <v>296</v>
      </c>
      <c r="J2520" s="17">
        <v>16.265077000000002</v>
      </c>
      <c r="K2520" s="17">
        <v>-96.309954000000005</v>
      </c>
      <c r="L2520" s="17" t="str">
        <f>HYPERLINK("https://maps.google.com/?q=16.265077,-96.309954", "🔗 Ver Mapa")</f>
        <v>🔗 Ver Mapa</v>
      </c>
    </row>
    <row r="2521" spans="1:12" ht="43.5" x14ac:dyDescent="0.35">
      <c r="A2521" s="5" t="s">
        <v>4</v>
      </c>
      <c r="B2521" s="5" t="s">
        <v>17</v>
      </c>
      <c r="C2521" s="5" t="s">
        <v>1340</v>
      </c>
      <c r="D2521" s="8" t="s">
        <v>64</v>
      </c>
      <c r="E2521" s="16" t="s">
        <v>79</v>
      </c>
      <c r="F2521" s="16" t="s">
        <v>195</v>
      </c>
      <c r="G2521" s="8" t="s">
        <v>1341</v>
      </c>
      <c r="H2521" s="8" t="s">
        <v>1342</v>
      </c>
      <c r="I2521" s="16" t="s">
        <v>296</v>
      </c>
      <c r="J2521" s="16">
        <v>16.265432000000001</v>
      </c>
      <c r="K2521" s="16">
        <v>-96.309566000000004</v>
      </c>
      <c r="L2521" s="16" t="str">
        <f>HYPERLINK("https://maps.google.com/?q=16.265432,-96.309566", "🔗 Ver Mapa")</f>
        <v>🔗 Ver Mapa</v>
      </c>
    </row>
    <row r="2522" spans="1:12" ht="43.5" x14ac:dyDescent="0.35">
      <c r="A2522" s="6" t="s">
        <v>4</v>
      </c>
      <c r="B2522" s="6" t="s">
        <v>17</v>
      </c>
      <c r="C2522" s="6" t="s">
        <v>1340</v>
      </c>
      <c r="D2522" s="11" t="s">
        <v>64</v>
      </c>
      <c r="E2522" s="17" t="s">
        <v>79</v>
      </c>
      <c r="F2522" s="17" t="s">
        <v>195</v>
      </c>
      <c r="G2522" s="11" t="s">
        <v>1341</v>
      </c>
      <c r="H2522" s="11" t="s">
        <v>1342</v>
      </c>
      <c r="I2522" s="17" t="s">
        <v>296</v>
      </c>
      <c r="J2522" s="17">
        <v>16.265996000000001</v>
      </c>
      <c r="K2522" s="17">
        <v>-96.309099000000003</v>
      </c>
      <c r="L2522" s="17" t="str">
        <f>HYPERLINK("https://maps.google.com/?q=16.265996,-96.309099", "🔗 Ver Mapa")</f>
        <v>🔗 Ver Mapa</v>
      </c>
    </row>
    <row r="2523" spans="1:12" ht="43.5" x14ac:dyDescent="0.35">
      <c r="A2523" s="5" t="s">
        <v>4</v>
      </c>
      <c r="B2523" s="5" t="s">
        <v>17</v>
      </c>
      <c r="C2523" s="5" t="s">
        <v>1340</v>
      </c>
      <c r="D2523" s="8" t="s">
        <v>64</v>
      </c>
      <c r="E2523" s="16" t="s">
        <v>79</v>
      </c>
      <c r="F2523" s="16" t="s">
        <v>195</v>
      </c>
      <c r="G2523" s="8" t="s">
        <v>1341</v>
      </c>
      <c r="H2523" s="8" t="s">
        <v>1342</v>
      </c>
      <c r="I2523" s="16" t="s">
        <v>296</v>
      </c>
      <c r="J2523" s="16">
        <v>16.266465</v>
      </c>
      <c r="K2523" s="16">
        <v>-96.308763999999996</v>
      </c>
      <c r="L2523" s="16" t="str">
        <f>HYPERLINK("https://maps.google.com/?q=16.266465,-96.308764", "🔗 Ver Mapa")</f>
        <v>🔗 Ver Mapa</v>
      </c>
    </row>
    <row r="2524" spans="1:12" ht="43.5" x14ac:dyDescent="0.35">
      <c r="A2524" s="6" t="s">
        <v>4</v>
      </c>
      <c r="B2524" s="6" t="s">
        <v>17</v>
      </c>
      <c r="C2524" s="6" t="s">
        <v>1340</v>
      </c>
      <c r="D2524" s="11" t="s">
        <v>64</v>
      </c>
      <c r="E2524" s="17" t="s">
        <v>79</v>
      </c>
      <c r="F2524" s="17" t="s">
        <v>195</v>
      </c>
      <c r="G2524" s="11" t="s">
        <v>1341</v>
      </c>
      <c r="H2524" s="11" t="s">
        <v>1342</v>
      </c>
      <c r="I2524" s="17" t="s">
        <v>296</v>
      </c>
      <c r="J2524" s="17">
        <v>16.266687000000001</v>
      </c>
      <c r="K2524" s="17">
        <v>-96.308640999999994</v>
      </c>
      <c r="L2524" s="17" t="str">
        <f>HYPERLINK("https://maps.google.com/?q=16.266687,-96.308641", "🔗 Ver Mapa")</f>
        <v>🔗 Ver Mapa</v>
      </c>
    </row>
    <row r="2525" spans="1:12" ht="43.5" x14ac:dyDescent="0.35">
      <c r="A2525" s="5" t="s">
        <v>4</v>
      </c>
      <c r="B2525" s="5" t="s">
        <v>17</v>
      </c>
      <c r="C2525" s="5" t="s">
        <v>1340</v>
      </c>
      <c r="D2525" s="8" t="s">
        <v>64</v>
      </c>
      <c r="E2525" s="16" t="s">
        <v>79</v>
      </c>
      <c r="F2525" s="16" t="s">
        <v>195</v>
      </c>
      <c r="G2525" s="8" t="s">
        <v>1341</v>
      </c>
      <c r="H2525" s="8" t="s">
        <v>1342</v>
      </c>
      <c r="I2525" s="16" t="s">
        <v>296</v>
      </c>
      <c r="J2525" s="16">
        <v>16.266819999999999</v>
      </c>
      <c r="K2525" s="16">
        <v>-96.308751000000001</v>
      </c>
      <c r="L2525" s="16" t="str">
        <f>HYPERLINK("https://maps.google.com/?q=16.26682,-96.308751", "🔗 Ver Mapa")</f>
        <v>🔗 Ver Mapa</v>
      </c>
    </row>
    <row r="2526" spans="1:12" ht="43.5" x14ac:dyDescent="0.35">
      <c r="A2526" s="6" t="s">
        <v>4</v>
      </c>
      <c r="B2526" s="6" t="s">
        <v>17</v>
      </c>
      <c r="C2526" s="6" t="s">
        <v>1340</v>
      </c>
      <c r="D2526" s="11" t="s">
        <v>64</v>
      </c>
      <c r="E2526" s="17" t="s">
        <v>79</v>
      </c>
      <c r="F2526" s="17" t="s">
        <v>195</v>
      </c>
      <c r="G2526" s="11" t="s">
        <v>1341</v>
      </c>
      <c r="H2526" s="11" t="s">
        <v>1342</v>
      </c>
      <c r="I2526" s="17" t="s">
        <v>296</v>
      </c>
      <c r="J2526" s="17">
        <v>16.267303999999999</v>
      </c>
      <c r="K2526" s="17">
        <v>-96.308941000000004</v>
      </c>
      <c r="L2526" s="17" t="str">
        <f>HYPERLINK("https://maps.google.com/?q=16.267304,-96.308941", "🔗 Ver Mapa")</f>
        <v>🔗 Ver Mapa</v>
      </c>
    </row>
    <row r="2527" spans="1:12" ht="43.5" x14ac:dyDescent="0.35">
      <c r="A2527" s="5" t="s">
        <v>4</v>
      </c>
      <c r="B2527" s="5" t="s">
        <v>17</v>
      </c>
      <c r="C2527" s="5" t="s">
        <v>1340</v>
      </c>
      <c r="D2527" s="8" t="s">
        <v>64</v>
      </c>
      <c r="E2527" s="16" t="s">
        <v>79</v>
      </c>
      <c r="F2527" s="16" t="s">
        <v>195</v>
      </c>
      <c r="G2527" s="8" t="s">
        <v>1341</v>
      </c>
      <c r="H2527" s="8" t="s">
        <v>1342</v>
      </c>
      <c r="I2527" s="16" t="s">
        <v>296</v>
      </c>
      <c r="J2527" s="16">
        <v>16.267741999999998</v>
      </c>
      <c r="K2527" s="16">
        <v>-96.309369000000004</v>
      </c>
      <c r="L2527" s="16" t="str">
        <f>HYPERLINK("https://maps.google.com/?q=16.267742,-96.309369", "🔗 Ver Mapa")</f>
        <v>🔗 Ver Mapa</v>
      </c>
    </row>
    <row r="2528" spans="1:12" ht="43.5" x14ac:dyDescent="0.35">
      <c r="A2528" s="6" t="s">
        <v>4</v>
      </c>
      <c r="B2528" s="6" t="s">
        <v>17</v>
      </c>
      <c r="C2528" s="6" t="s">
        <v>1340</v>
      </c>
      <c r="D2528" s="11" t="s">
        <v>64</v>
      </c>
      <c r="E2528" s="17" t="s">
        <v>79</v>
      </c>
      <c r="F2528" s="17" t="s">
        <v>195</v>
      </c>
      <c r="G2528" s="11" t="s">
        <v>1341</v>
      </c>
      <c r="H2528" s="11" t="s">
        <v>1342</v>
      </c>
      <c r="I2528" s="17" t="s">
        <v>296</v>
      </c>
      <c r="J2528" s="17">
        <v>16.267914000000001</v>
      </c>
      <c r="K2528" s="17">
        <v>-96.309353999999999</v>
      </c>
      <c r="L2528" s="17" t="str">
        <f>HYPERLINK("https://maps.google.com/?q=16.267914,-96.309354", "🔗 Ver Mapa")</f>
        <v>🔗 Ver Mapa</v>
      </c>
    </row>
    <row r="2529" spans="1:12" ht="43.5" x14ac:dyDescent="0.35">
      <c r="A2529" s="5" t="s">
        <v>4</v>
      </c>
      <c r="B2529" s="5" t="s">
        <v>17</v>
      </c>
      <c r="C2529" s="5" t="s">
        <v>1340</v>
      </c>
      <c r="D2529" s="8" t="s">
        <v>64</v>
      </c>
      <c r="E2529" s="16" t="s">
        <v>79</v>
      </c>
      <c r="F2529" s="16" t="s">
        <v>195</v>
      </c>
      <c r="G2529" s="8" t="s">
        <v>1341</v>
      </c>
      <c r="H2529" s="8" t="s">
        <v>1342</v>
      </c>
      <c r="I2529" s="16" t="s">
        <v>296</v>
      </c>
      <c r="J2529" s="16">
        <v>16.267997999999999</v>
      </c>
      <c r="K2529" s="16">
        <v>-96.309386000000003</v>
      </c>
      <c r="L2529" s="16" t="str">
        <f>HYPERLINK("https://maps.google.com/?q=16.267998,-96.309386", "🔗 Ver Mapa")</f>
        <v>🔗 Ver Mapa</v>
      </c>
    </row>
    <row r="2530" spans="1:12" ht="43.5" x14ac:dyDescent="0.35">
      <c r="A2530" s="6" t="s">
        <v>4</v>
      </c>
      <c r="B2530" s="6" t="s">
        <v>17</v>
      </c>
      <c r="C2530" s="6" t="s">
        <v>1340</v>
      </c>
      <c r="D2530" s="11" t="s">
        <v>64</v>
      </c>
      <c r="E2530" s="17" t="s">
        <v>79</v>
      </c>
      <c r="F2530" s="17" t="s">
        <v>195</v>
      </c>
      <c r="G2530" s="11" t="s">
        <v>1341</v>
      </c>
      <c r="H2530" s="11" t="s">
        <v>1342</v>
      </c>
      <c r="I2530" s="17" t="s">
        <v>296</v>
      </c>
      <c r="J2530" s="17">
        <v>16.268049000000001</v>
      </c>
      <c r="K2530" s="17">
        <v>-96.309449000000001</v>
      </c>
      <c r="L2530" s="17" t="str">
        <f>HYPERLINK("https://maps.google.com/?q=16.268049,-96.309449", "🔗 Ver Mapa")</f>
        <v>🔗 Ver Mapa</v>
      </c>
    </row>
    <row r="2531" spans="1:12" ht="43.5" x14ac:dyDescent="0.35">
      <c r="A2531" s="5" t="s">
        <v>4</v>
      </c>
      <c r="B2531" s="5" t="s">
        <v>17</v>
      </c>
      <c r="C2531" s="5" t="s">
        <v>1340</v>
      </c>
      <c r="D2531" s="8" t="s">
        <v>64</v>
      </c>
      <c r="E2531" s="16" t="s">
        <v>79</v>
      </c>
      <c r="F2531" s="16" t="s">
        <v>195</v>
      </c>
      <c r="G2531" s="8" t="s">
        <v>1341</v>
      </c>
      <c r="H2531" s="8" t="s">
        <v>1342</v>
      </c>
      <c r="I2531" s="16" t="s">
        <v>296</v>
      </c>
      <c r="J2531" s="16">
        <v>16.268207</v>
      </c>
      <c r="K2531" s="16">
        <v>-96.309946999999994</v>
      </c>
      <c r="L2531" s="16" t="str">
        <f>HYPERLINK("https://maps.google.com/?q=16.268207,-96.309947", "🔗 Ver Mapa")</f>
        <v>🔗 Ver Mapa</v>
      </c>
    </row>
    <row r="2532" spans="1:12" ht="43.5" x14ac:dyDescent="0.35">
      <c r="A2532" s="6" t="s">
        <v>4</v>
      </c>
      <c r="B2532" s="6" t="s">
        <v>17</v>
      </c>
      <c r="C2532" s="6" t="s">
        <v>1340</v>
      </c>
      <c r="D2532" s="11" t="s">
        <v>64</v>
      </c>
      <c r="E2532" s="17" t="s">
        <v>79</v>
      </c>
      <c r="F2532" s="17" t="s">
        <v>195</v>
      </c>
      <c r="G2532" s="11" t="s">
        <v>1341</v>
      </c>
      <c r="H2532" s="11" t="s">
        <v>1342</v>
      </c>
      <c r="I2532" s="17" t="s">
        <v>296</v>
      </c>
      <c r="J2532" s="17">
        <v>16.268303</v>
      </c>
      <c r="K2532" s="17">
        <v>-96.310070999999994</v>
      </c>
      <c r="L2532" s="17" t="str">
        <f>HYPERLINK("https://maps.google.com/?q=16.268303,-96.310071", "🔗 Ver Mapa")</f>
        <v>🔗 Ver Mapa</v>
      </c>
    </row>
    <row r="2533" spans="1:12" ht="43.5" x14ac:dyDescent="0.35">
      <c r="A2533" s="5" t="s">
        <v>4</v>
      </c>
      <c r="B2533" s="5" t="s">
        <v>17</v>
      </c>
      <c r="C2533" s="5" t="s">
        <v>1340</v>
      </c>
      <c r="D2533" s="8" t="s">
        <v>64</v>
      </c>
      <c r="E2533" s="16" t="s">
        <v>79</v>
      </c>
      <c r="F2533" s="16" t="s">
        <v>195</v>
      </c>
      <c r="G2533" s="8" t="s">
        <v>1341</v>
      </c>
      <c r="H2533" s="8" t="s">
        <v>1342</v>
      </c>
      <c r="I2533" s="16" t="s">
        <v>296</v>
      </c>
      <c r="J2533" s="16">
        <v>16.268443000000001</v>
      </c>
      <c r="K2533" s="16">
        <v>-96.310169999999999</v>
      </c>
      <c r="L2533" s="16" t="str">
        <f>HYPERLINK("https://maps.google.com/?q=16.268443,-96.31017", "🔗 Ver Mapa")</f>
        <v>🔗 Ver Mapa</v>
      </c>
    </row>
    <row r="2534" spans="1:12" ht="43.5" x14ac:dyDescent="0.35">
      <c r="A2534" s="6" t="s">
        <v>4</v>
      </c>
      <c r="B2534" s="6" t="s">
        <v>17</v>
      </c>
      <c r="C2534" s="6" t="s">
        <v>1340</v>
      </c>
      <c r="D2534" s="11" t="s">
        <v>64</v>
      </c>
      <c r="E2534" s="17" t="s">
        <v>79</v>
      </c>
      <c r="F2534" s="17" t="s">
        <v>195</v>
      </c>
      <c r="G2534" s="11" t="s">
        <v>1341</v>
      </c>
      <c r="H2534" s="11" t="s">
        <v>1342</v>
      </c>
      <c r="I2534" s="17" t="s">
        <v>296</v>
      </c>
      <c r="J2534" s="17">
        <v>16.268574000000001</v>
      </c>
      <c r="K2534" s="17">
        <v>-96.310203000000001</v>
      </c>
      <c r="L2534" s="17" t="str">
        <f>HYPERLINK("https://maps.google.com/?q=16.268574,-96.310203", "🔗 Ver Mapa")</f>
        <v>🔗 Ver Mapa</v>
      </c>
    </row>
    <row r="2535" spans="1:12" ht="43.5" x14ac:dyDescent="0.35">
      <c r="A2535" s="5" t="s">
        <v>4</v>
      </c>
      <c r="B2535" s="5" t="s">
        <v>17</v>
      </c>
      <c r="C2535" s="5" t="s">
        <v>1340</v>
      </c>
      <c r="D2535" s="8" t="s">
        <v>64</v>
      </c>
      <c r="E2535" s="16" t="s">
        <v>79</v>
      </c>
      <c r="F2535" s="16" t="s">
        <v>195</v>
      </c>
      <c r="G2535" s="8" t="s">
        <v>1341</v>
      </c>
      <c r="H2535" s="8" t="s">
        <v>1342</v>
      </c>
      <c r="I2535" s="16" t="s">
        <v>296</v>
      </c>
      <c r="J2535" s="16">
        <v>16.269017000000002</v>
      </c>
      <c r="K2535" s="16">
        <v>-96.310149999999993</v>
      </c>
      <c r="L2535" s="16" t="str">
        <f>HYPERLINK("https://maps.google.com/?q=16.269017,-96.31015", "🔗 Ver Mapa")</f>
        <v>🔗 Ver Mapa</v>
      </c>
    </row>
    <row r="2536" spans="1:12" ht="43.5" x14ac:dyDescent="0.35">
      <c r="A2536" s="6" t="s">
        <v>4</v>
      </c>
      <c r="B2536" s="6" t="s">
        <v>17</v>
      </c>
      <c r="C2536" s="6" t="s">
        <v>1340</v>
      </c>
      <c r="D2536" s="11" t="s">
        <v>64</v>
      </c>
      <c r="E2536" s="17" t="s">
        <v>79</v>
      </c>
      <c r="F2536" s="17" t="s">
        <v>195</v>
      </c>
      <c r="G2536" s="11" t="s">
        <v>1341</v>
      </c>
      <c r="H2536" s="11" t="s">
        <v>1342</v>
      </c>
      <c r="I2536" s="17" t="s">
        <v>296</v>
      </c>
      <c r="J2536" s="17">
        <v>16.269272999999998</v>
      </c>
      <c r="K2536" s="17">
        <v>-96.310332000000002</v>
      </c>
      <c r="L2536" s="17" t="str">
        <f>HYPERLINK("https://maps.google.com/?q=16.269273,-96.310332", "🔗 Ver Mapa")</f>
        <v>🔗 Ver Mapa</v>
      </c>
    </row>
    <row r="2537" spans="1:12" ht="43.5" x14ac:dyDescent="0.35">
      <c r="A2537" s="5" t="s">
        <v>4</v>
      </c>
      <c r="B2537" s="5" t="s">
        <v>17</v>
      </c>
      <c r="C2537" s="5" t="s">
        <v>1340</v>
      </c>
      <c r="D2537" s="8" t="s">
        <v>64</v>
      </c>
      <c r="E2537" s="16" t="s">
        <v>79</v>
      </c>
      <c r="F2537" s="16" t="s">
        <v>195</v>
      </c>
      <c r="G2537" s="8" t="s">
        <v>1341</v>
      </c>
      <c r="H2537" s="8" t="s">
        <v>1342</v>
      </c>
      <c r="I2537" s="16" t="s">
        <v>296</v>
      </c>
      <c r="J2537" s="16">
        <v>16.269366999999999</v>
      </c>
      <c r="K2537" s="16">
        <v>-96.310338000000002</v>
      </c>
      <c r="L2537" s="16" t="str">
        <f>HYPERLINK("https://maps.google.com/?q=16.269367,-96.310338", "🔗 Ver Mapa")</f>
        <v>🔗 Ver Mapa</v>
      </c>
    </row>
    <row r="2538" spans="1:12" ht="43.5" x14ac:dyDescent="0.35">
      <c r="A2538" s="6" t="s">
        <v>4</v>
      </c>
      <c r="B2538" s="6" t="s">
        <v>17</v>
      </c>
      <c r="C2538" s="6" t="s">
        <v>1340</v>
      </c>
      <c r="D2538" s="11" t="s">
        <v>64</v>
      </c>
      <c r="E2538" s="17" t="s">
        <v>79</v>
      </c>
      <c r="F2538" s="17" t="s">
        <v>195</v>
      </c>
      <c r="G2538" s="11" t="s">
        <v>1341</v>
      </c>
      <c r="H2538" s="11" t="s">
        <v>1342</v>
      </c>
      <c r="I2538" s="17" t="s">
        <v>296</v>
      </c>
      <c r="J2538" s="17">
        <v>16.269904</v>
      </c>
      <c r="K2538" s="17">
        <v>-96.310041999999996</v>
      </c>
      <c r="L2538" s="17" t="str">
        <f>HYPERLINK("https://maps.google.com/?q=16.269904,-96.310042", "🔗 Ver Mapa")</f>
        <v>🔗 Ver Mapa</v>
      </c>
    </row>
    <row r="2539" spans="1:12" ht="43.5" x14ac:dyDescent="0.35">
      <c r="A2539" s="5" t="s">
        <v>4</v>
      </c>
      <c r="B2539" s="5" t="s">
        <v>17</v>
      </c>
      <c r="C2539" s="5" t="s">
        <v>1340</v>
      </c>
      <c r="D2539" s="8" t="s">
        <v>64</v>
      </c>
      <c r="E2539" s="16" t="s">
        <v>79</v>
      </c>
      <c r="F2539" s="16" t="s">
        <v>195</v>
      </c>
      <c r="G2539" s="8" t="s">
        <v>1341</v>
      </c>
      <c r="H2539" s="8" t="s">
        <v>1342</v>
      </c>
      <c r="I2539" s="16" t="s">
        <v>296</v>
      </c>
      <c r="J2539" s="16">
        <v>16.270667</v>
      </c>
      <c r="K2539" s="16">
        <v>-96.310109999999995</v>
      </c>
      <c r="L2539" s="16" t="str">
        <f>HYPERLINK("https://maps.google.com/?q=16.270667,-96.31011", "🔗 Ver Mapa")</f>
        <v>🔗 Ver Mapa</v>
      </c>
    </row>
    <row r="2540" spans="1:12" ht="43.5" x14ac:dyDescent="0.35">
      <c r="A2540" s="6" t="s">
        <v>4</v>
      </c>
      <c r="B2540" s="6" t="s">
        <v>17</v>
      </c>
      <c r="C2540" s="6" t="s">
        <v>1340</v>
      </c>
      <c r="D2540" s="11" t="s">
        <v>64</v>
      </c>
      <c r="E2540" s="17" t="s">
        <v>79</v>
      </c>
      <c r="F2540" s="17" t="s">
        <v>195</v>
      </c>
      <c r="G2540" s="11" t="s">
        <v>1341</v>
      </c>
      <c r="H2540" s="11" t="s">
        <v>1342</v>
      </c>
      <c r="I2540" s="17" t="s">
        <v>296</v>
      </c>
      <c r="J2540" s="17">
        <v>16.270847</v>
      </c>
      <c r="K2540" s="17">
        <v>-96.310079999999999</v>
      </c>
      <c r="L2540" s="17" t="str">
        <f>HYPERLINK("https://maps.google.com/?q=16.270847,-96.31008", "🔗 Ver Mapa")</f>
        <v>🔗 Ver Mapa</v>
      </c>
    </row>
    <row r="2541" spans="1:12" ht="43.5" x14ac:dyDescent="0.35">
      <c r="A2541" s="5" t="s">
        <v>4</v>
      </c>
      <c r="B2541" s="5" t="s">
        <v>17</v>
      </c>
      <c r="C2541" s="5" t="s">
        <v>1340</v>
      </c>
      <c r="D2541" s="8" t="s">
        <v>64</v>
      </c>
      <c r="E2541" s="16" t="s">
        <v>79</v>
      </c>
      <c r="F2541" s="16" t="s">
        <v>195</v>
      </c>
      <c r="G2541" s="8" t="s">
        <v>1341</v>
      </c>
      <c r="H2541" s="8" t="s">
        <v>1342</v>
      </c>
      <c r="I2541" s="16" t="s">
        <v>296</v>
      </c>
      <c r="J2541" s="16">
        <v>16.271008999999999</v>
      </c>
      <c r="K2541" s="16">
        <v>-96.309999000000005</v>
      </c>
      <c r="L2541" s="16" t="str">
        <f>HYPERLINK("https://maps.google.com/?q=16.271009,-96.309999", "🔗 Ver Mapa")</f>
        <v>🔗 Ver Mapa</v>
      </c>
    </row>
    <row r="2542" spans="1:12" ht="43.5" x14ac:dyDescent="0.35">
      <c r="A2542" s="6" t="s">
        <v>4</v>
      </c>
      <c r="B2542" s="6" t="s">
        <v>17</v>
      </c>
      <c r="C2542" s="6" t="s">
        <v>1340</v>
      </c>
      <c r="D2542" s="11" t="s">
        <v>64</v>
      </c>
      <c r="E2542" s="17" t="s">
        <v>79</v>
      </c>
      <c r="F2542" s="17" t="s">
        <v>195</v>
      </c>
      <c r="G2542" s="11" t="s">
        <v>1341</v>
      </c>
      <c r="H2542" s="11" t="s">
        <v>1342</v>
      </c>
      <c r="I2542" s="17" t="s">
        <v>296</v>
      </c>
      <c r="J2542" s="17">
        <v>16.271104999999999</v>
      </c>
      <c r="K2542" s="17">
        <v>-96.309915000000004</v>
      </c>
      <c r="L2542" s="17" t="str">
        <f>HYPERLINK("https://maps.google.com/?q=16.271105,-96.309915", "🔗 Ver Mapa")</f>
        <v>🔗 Ver Mapa</v>
      </c>
    </row>
    <row r="2543" spans="1:12" ht="43.5" x14ac:dyDescent="0.35">
      <c r="A2543" s="5" t="s">
        <v>4</v>
      </c>
      <c r="B2543" s="5" t="s">
        <v>17</v>
      </c>
      <c r="C2543" s="5" t="s">
        <v>1340</v>
      </c>
      <c r="D2543" s="8" t="s">
        <v>64</v>
      </c>
      <c r="E2543" s="16" t="s">
        <v>79</v>
      </c>
      <c r="F2543" s="16" t="s">
        <v>195</v>
      </c>
      <c r="G2543" s="8" t="s">
        <v>1341</v>
      </c>
      <c r="H2543" s="8" t="s">
        <v>1342</v>
      </c>
      <c r="I2543" s="16" t="s">
        <v>296</v>
      </c>
      <c r="J2543" s="16">
        <v>16.271187000000001</v>
      </c>
      <c r="K2543" s="16">
        <v>-96.309773000000007</v>
      </c>
      <c r="L2543" s="16" t="str">
        <f>HYPERLINK("https://maps.google.com/?q=16.271187,-96.309773", "🔗 Ver Mapa")</f>
        <v>🔗 Ver Mapa</v>
      </c>
    </row>
    <row r="2544" spans="1:12" ht="43.5" x14ac:dyDescent="0.35">
      <c r="A2544" s="6" t="s">
        <v>4</v>
      </c>
      <c r="B2544" s="6" t="s">
        <v>17</v>
      </c>
      <c r="C2544" s="6" t="s">
        <v>1340</v>
      </c>
      <c r="D2544" s="11" t="s">
        <v>64</v>
      </c>
      <c r="E2544" s="17" t="s">
        <v>79</v>
      </c>
      <c r="F2544" s="17" t="s">
        <v>195</v>
      </c>
      <c r="G2544" s="11" t="s">
        <v>1341</v>
      </c>
      <c r="H2544" s="11" t="s">
        <v>1342</v>
      </c>
      <c r="I2544" s="17" t="s">
        <v>296</v>
      </c>
      <c r="J2544" s="17">
        <v>16.271201999999999</v>
      </c>
      <c r="K2544" s="17">
        <v>-96.309475000000006</v>
      </c>
      <c r="L2544" s="17" t="str">
        <f>HYPERLINK("https://maps.google.com/?q=16.271202,-96.309475", "🔗 Ver Mapa")</f>
        <v>🔗 Ver Mapa</v>
      </c>
    </row>
    <row r="2545" spans="1:12" ht="43.5" x14ac:dyDescent="0.35">
      <c r="A2545" s="5" t="s">
        <v>4</v>
      </c>
      <c r="B2545" s="5" t="s">
        <v>17</v>
      </c>
      <c r="C2545" s="5" t="s">
        <v>1340</v>
      </c>
      <c r="D2545" s="8" t="s">
        <v>64</v>
      </c>
      <c r="E2545" s="16" t="s">
        <v>79</v>
      </c>
      <c r="F2545" s="16" t="s">
        <v>195</v>
      </c>
      <c r="G2545" s="8" t="s">
        <v>1341</v>
      </c>
      <c r="H2545" s="8" t="s">
        <v>1342</v>
      </c>
      <c r="I2545" s="16" t="s">
        <v>296</v>
      </c>
      <c r="J2545" s="16">
        <v>16.271225000000001</v>
      </c>
      <c r="K2545" s="16">
        <v>-96.309417999999994</v>
      </c>
      <c r="L2545" s="16" t="str">
        <f>HYPERLINK("https://maps.google.com/?q=16.271225,-96.309418", "🔗 Ver Mapa")</f>
        <v>🔗 Ver Mapa</v>
      </c>
    </row>
    <row r="2546" spans="1:12" ht="43.5" x14ac:dyDescent="0.35">
      <c r="A2546" s="6" t="s">
        <v>4</v>
      </c>
      <c r="B2546" s="6" t="s">
        <v>17</v>
      </c>
      <c r="C2546" s="6" t="s">
        <v>1340</v>
      </c>
      <c r="D2546" s="11" t="s">
        <v>64</v>
      </c>
      <c r="E2546" s="17" t="s">
        <v>79</v>
      </c>
      <c r="F2546" s="17" t="s">
        <v>195</v>
      </c>
      <c r="G2546" s="11" t="s">
        <v>1341</v>
      </c>
      <c r="H2546" s="11" t="s">
        <v>1342</v>
      </c>
      <c r="I2546" s="17" t="s">
        <v>296</v>
      </c>
      <c r="J2546" s="17">
        <v>16.271225000000001</v>
      </c>
      <c r="K2546" s="17">
        <v>-96.309629000000001</v>
      </c>
      <c r="L2546" s="17" t="str">
        <f>HYPERLINK("https://maps.google.com/?q=16.271225,-96.309629", "🔗 Ver Mapa")</f>
        <v>🔗 Ver Mapa</v>
      </c>
    </row>
    <row r="2547" spans="1:12" ht="43.5" x14ac:dyDescent="0.35">
      <c r="A2547" s="5" t="s">
        <v>4</v>
      </c>
      <c r="B2547" s="5" t="s">
        <v>17</v>
      </c>
      <c r="C2547" s="5" t="s">
        <v>1340</v>
      </c>
      <c r="D2547" s="8" t="s">
        <v>64</v>
      </c>
      <c r="E2547" s="16" t="s">
        <v>79</v>
      </c>
      <c r="F2547" s="16" t="s">
        <v>195</v>
      </c>
      <c r="G2547" s="8" t="s">
        <v>1341</v>
      </c>
      <c r="H2547" s="8" t="s">
        <v>1342</v>
      </c>
      <c r="I2547" s="16" t="s">
        <v>296</v>
      </c>
      <c r="J2547" s="16">
        <v>16.271432000000001</v>
      </c>
      <c r="K2547" s="16">
        <v>-96.309382999999997</v>
      </c>
      <c r="L2547" s="16" t="str">
        <f>HYPERLINK("https://maps.google.com/?q=16.271432,-96.309383", "🔗 Ver Mapa")</f>
        <v>🔗 Ver Mapa</v>
      </c>
    </row>
    <row r="2548" spans="1:12" ht="43.5" x14ac:dyDescent="0.35">
      <c r="A2548" s="6" t="s">
        <v>4</v>
      </c>
      <c r="B2548" s="6" t="s">
        <v>17</v>
      </c>
      <c r="C2548" s="6" t="s">
        <v>1340</v>
      </c>
      <c r="D2548" s="11" t="s">
        <v>64</v>
      </c>
      <c r="E2548" s="17" t="s">
        <v>79</v>
      </c>
      <c r="F2548" s="17" t="s">
        <v>195</v>
      </c>
      <c r="G2548" s="11" t="s">
        <v>1341</v>
      </c>
      <c r="H2548" s="11" t="s">
        <v>1342</v>
      </c>
      <c r="I2548" s="17" t="s">
        <v>296</v>
      </c>
      <c r="J2548" s="17">
        <v>16.271792000000001</v>
      </c>
      <c r="K2548" s="17">
        <v>-96.309359999999998</v>
      </c>
      <c r="L2548" s="17" t="str">
        <f>HYPERLINK("https://maps.google.com/?q=16.271792,-96.30936", "🔗 Ver Mapa")</f>
        <v>🔗 Ver Mapa</v>
      </c>
    </row>
    <row r="2549" spans="1:12" ht="43.5" x14ac:dyDescent="0.35">
      <c r="A2549" s="5" t="s">
        <v>4</v>
      </c>
      <c r="B2549" s="5" t="s">
        <v>17</v>
      </c>
      <c r="C2549" s="5" t="s">
        <v>1340</v>
      </c>
      <c r="D2549" s="8" t="s">
        <v>64</v>
      </c>
      <c r="E2549" s="16" t="s">
        <v>79</v>
      </c>
      <c r="F2549" s="16" t="s">
        <v>195</v>
      </c>
      <c r="G2549" s="8" t="s">
        <v>1341</v>
      </c>
      <c r="H2549" s="8" t="s">
        <v>1342</v>
      </c>
      <c r="I2549" s="16" t="s">
        <v>296</v>
      </c>
      <c r="J2549" s="16">
        <v>16.272221999999999</v>
      </c>
      <c r="K2549" s="16">
        <v>-96.309106</v>
      </c>
      <c r="L2549" s="16" t="str">
        <f>HYPERLINK("https://maps.google.com/?q=16.272222,-96.309106", "🔗 Ver Mapa")</f>
        <v>🔗 Ver Mapa</v>
      </c>
    </row>
    <row r="2550" spans="1:12" ht="43.5" x14ac:dyDescent="0.35">
      <c r="A2550" s="6" t="s">
        <v>4</v>
      </c>
      <c r="B2550" s="6" t="s">
        <v>17</v>
      </c>
      <c r="C2550" s="6" t="s">
        <v>1340</v>
      </c>
      <c r="D2550" s="11" t="s">
        <v>64</v>
      </c>
      <c r="E2550" s="17" t="s">
        <v>79</v>
      </c>
      <c r="F2550" s="17" t="s">
        <v>195</v>
      </c>
      <c r="G2550" s="11" t="s">
        <v>1341</v>
      </c>
      <c r="H2550" s="11" t="s">
        <v>1342</v>
      </c>
      <c r="I2550" s="17" t="s">
        <v>296</v>
      </c>
      <c r="J2550" s="17">
        <v>16.272368</v>
      </c>
      <c r="K2550" s="17">
        <v>-96.308978999999994</v>
      </c>
      <c r="L2550" s="17" t="str">
        <f>HYPERLINK("https://maps.google.com/?q=16.272368,-96.308979", "🔗 Ver Mapa")</f>
        <v>🔗 Ver Mapa</v>
      </c>
    </row>
    <row r="2551" spans="1:12" ht="43.5" x14ac:dyDescent="0.35">
      <c r="A2551" s="5" t="s">
        <v>4</v>
      </c>
      <c r="B2551" s="5" t="s">
        <v>17</v>
      </c>
      <c r="C2551" s="5" t="s">
        <v>1340</v>
      </c>
      <c r="D2551" s="8" t="s">
        <v>64</v>
      </c>
      <c r="E2551" s="16" t="s">
        <v>79</v>
      </c>
      <c r="F2551" s="16" t="s">
        <v>195</v>
      </c>
      <c r="G2551" s="8" t="s">
        <v>1341</v>
      </c>
      <c r="H2551" s="8" t="s">
        <v>1342</v>
      </c>
      <c r="I2551" s="16" t="s">
        <v>296</v>
      </c>
      <c r="J2551" s="16">
        <v>16.272482</v>
      </c>
      <c r="K2551" s="16">
        <v>-96.308560999999997</v>
      </c>
      <c r="L2551" s="16" t="str">
        <f>HYPERLINK("https://maps.google.com/?q=16.272482,-96.308561", "🔗 Ver Mapa")</f>
        <v>🔗 Ver Mapa</v>
      </c>
    </row>
    <row r="2552" spans="1:12" ht="43.5" x14ac:dyDescent="0.35">
      <c r="A2552" s="6" t="s">
        <v>4</v>
      </c>
      <c r="B2552" s="6" t="s">
        <v>17</v>
      </c>
      <c r="C2552" s="6" t="s">
        <v>1340</v>
      </c>
      <c r="D2552" s="11" t="s">
        <v>64</v>
      </c>
      <c r="E2552" s="17" t="s">
        <v>79</v>
      </c>
      <c r="F2552" s="17" t="s">
        <v>195</v>
      </c>
      <c r="G2552" s="11" t="s">
        <v>1341</v>
      </c>
      <c r="H2552" s="11" t="s">
        <v>1342</v>
      </c>
      <c r="I2552" s="17" t="s">
        <v>296</v>
      </c>
      <c r="J2552" s="17">
        <v>16.272487000000002</v>
      </c>
      <c r="K2552" s="17">
        <v>-96.308696999999995</v>
      </c>
      <c r="L2552" s="17" t="str">
        <f>HYPERLINK("https://maps.google.com/?q=16.272487,-96.308697", "🔗 Ver Mapa")</f>
        <v>🔗 Ver Mapa</v>
      </c>
    </row>
    <row r="2553" spans="1:12" ht="43.5" x14ac:dyDescent="0.35">
      <c r="A2553" s="5" t="s">
        <v>4</v>
      </c>
      <c r="B2553" s="5" t="s">
        <v>17</v>
      </c>
      <c r="C2553" s="5" t="s">
        <v>1340</v>
      </c>
      <c r="D2553" s="8" t="s">
        <v>64</v>
      </c>
      <c r="E2553" s="16" t="s">
        <v>79</v>
      </c>
      <c r="F2553" s="16" t="s">
        <v>195</v>
      </c>
      <c r="G2553" s="8" t="s">
        <v>1341</v>
      </c>
      <c r="H2553" s="8" t="s">
        <v>1342</v>
      </c>
      <c r="I2553" s="16" t="s">
        <v>296</v>
      </c>
      <c r="J2553" s="16">
        <v>16.272489</v>
      </c>
      <c r="K2553" s="16">
        <v>-96.306392000000002</v>
      </c>
      <c r="L2553" s="16" t="str">
        <f>HYPERLINK("https://maps.google.com/?q=16.272489,-96.306392", "🔗 Ver Mapa")</f>
        <v>🔗 Ver Mapa</v>
      </c>
    </row>
    <row r="2554" spans="1:12" ht="43.5" x14ac:dyDescent="0.35">
      <c r="A2554" s="6" t="s">
        <v>4</v>
      </c>
      <c r="B2554" s="6" t="s">
        <v>17</v>
      </c>
      <c r="C2554" s="6" t="s">
        <v>1340</v>
      </c>
      <c r="D2554" s="11" t="s">
        <v>64</v>
      </c>
      <c r="E2554" s="17" t="s">
        <v>79</v>
      </c>
      <c r="F2554" s="17" t="s">
        <v>195</v>
      </c>
      <c r="G2554" s="11" t="s">
        <v>1341</v>
      </c>
      <c r="H2554" s="11" t="s">
        <v>1342</v>
      </c>
      <c r="I2554" s="17" t="s">
        <v>296</v>
      </c>
      <c r="J2554" s="17">
        <v>16.272490000000001</v>
      </c>
      <c r="K2554" s="17">
        <v>-96.306854000000001</v>
      </c>
      <c r="L2554" s="17" t="str">
        <f>HYPERLINK("https://maps.google.com/?q=16.27249,-96.306854", "🔗 Ver Mapa")</f>
        <v>🔗 Ver Mapa</v>
      </c>
    </row>
    <row r="2555" spans="1:12" ht="43.5" x14ac:dyDescent="0.35">
      <c r="A2555" s="5" t="s">
        <v>4</v>
      </c>
      <c r="B2555" s="5" t="s">
        <v>17</v>
      </c>
      <c r="C2555" s="5" t="s">
        <v>1340</v>
      </c>
      <c r="D2555" s="8" t="s">
        <v>64</v>
      </c>
      <c r="E2555" s="16" t="s">
        <v>79</v>
      </c>
      <c r="F2555" s="16" t="s">
        <v>195</v>
      </c>
      <c r="G2555" s="8" t="s">
        <v>1341</v>
      </c>
      <c r="H2555" s="8" t="s">
        <v>1342</v>
      </c>
      <c r="I2555" s="16" t="s">
        <v>296</v>
      </c>
      <c r="J2555" s="16">
        <v>16.272508999999999</v>
      </c>
      <c r="K2555" s="16">
        <v>-96.308465999999996</v>
      </c>
      <c r="L2555" s="16" t="str">
        <f>HYPERLINK("https://maps.google.com/?q=16.272509,-96.308466", "🔗 Ver Mapa")</f>
        <v>🔗 Ver Mapa</v>
      </c>
    </row>
    <row r="2556" spans="1:12" ht="43.5" x14ac:dyDescent="0.35">
      <c r="A2556" s="6" t="s">
        <v>4</v>
      </c>
      <c r="B2556" s="6" t="s">
        <v>17</v>
      </c>
      <c r="C2556" s="6" t="s">
        <v>1340</v>
      </c>
      <c r="D2556" s="11" t="s">
        <v>64</v>
      </c>
      <c r="E2556" s="17" t="s">
        <v>79</v>
      </c>
      <c r="F2556" s="17" t="s">
        <v>195</v>
      </c>
      <c r="G2556" s="11" t="s">
        <v>1341</v>
      </c>
      <c r="H2556" s="11" t="s">
        <v>1342</v>
      </c>
      <c r="I2556" s="17" t="s">
        <v>296</v>
      </c>
      <c r="J2556" s="17">
        <v>16.272523</v>
      </c>
      <c r="K2556" s="17">
        <v>-96.307975999999996</v>
      </c>
      <c r="L2556" s="17" t="str">
        <f>HYPERLINK("https://maps.google.com/?q=16.272523,-96.307976", "🔗 Ver Mapa")</f>
        <v>🔗 Ver Mapa</v>
      </c>
    </row>
    <row r="2557" spans="1:12" ht="43.5" x14ac:dyDescent="0.35">
      <c r="A2557" s="5" t="s">
        <v>4</v>
      </c>
      <c r="B2557" s="5" t="s">
        <v>17</v>
      </c>
      <c r="C2557" s="5" t="s">
        <v>1340</v>
      </c>
      <c r="D2557" s="8" t="s">
        <v>64</v>
      </c>
      <c r="E2557" s="16" t="s">
        <v>79</v>
      </c>
      <c r="F2557" s="16" t="s">
        <v>195</v>
      </c>
      <c r="G2557" s="8" t="s">
        <v>1341</v>
      </c>
      <c r="H2557" s="8" t="s">
        <v>1342</v>
      </c>
      <c r="I2557" s="16" t="s">
        <v>296</v>
      </c>
      <c r="J2557" s="16">
        <v>16.272646000000002</v>
      </c>
      <c r="K2557" s="16">
        <v>-96.307517000000004</v>
      </c>
      <c r="L2557" s="16" t="str">
        <f>HYPERLINK("https://maps.google.com/?q=16.272646,-96.307517", "🔗 Ver Mapa")</f>
        <v>🔗 Ver Mapa</v>
      </c>
    </row>
    <row r="2558" spans="1:12" ht="43.5" x14ac:dyDescent="0.35">
      <c r="A2558" s="6" t="s">
        <v>4</v>
      </c>
      <c r="B2558" s="6" t="s">
        <v>17</v>
      </c>
      <c r="C2558" s="6" t="s">
        <v>1340</v>
      </c>
      <c r="D2558" s="11" t="s">
        <v>64</v>
      </c>
      <c r="E2558" s="17" t="s">
        <v>79</v>
      </c>
      <c r="F2558" s="17" t="s">
        <v>195</v>
      </c>
      <c r="G2558" s="11" t="s">
        <v>1341</v>
      </c>
      <c r="H2558" s="11" t="s">
        <v>1342</v>
      </c>
      <c r="I2558" s="17" t="s">
        <v>296</v>
      </c>
      <c r="J2558" s="17">
        <v>16.272646999999999</v>
      </c>
      <c r="K2558" s="17">
        <v>-96.307011000000003</v>
      </c>
      <c r="L2558" s="17" t="str">
        <f>HYPERLINK("https://maps.google.com/?q=16.272647,-96.307011", "🔗 Ver Mapa")</f>
        <v>🔗 Ver Mapa</v>
      </c>
    </row>
    <row r="2559" spans="1:12" ht="58" x14ac:dyDescent="0.35">
      <c r="A2559" s="5" t="s">
        <v>1</v>
      </c>
      <c r="B2559" s="5" t="s">
        <v>14</v>
      </c>
      <c r="C2559" s="5" t="s">
        <v>1343</v>
      </c>
      <c r="D2559" s="8" t="s">
        <v>61</v>
      </c>
      <c r="E2559" s="16" t="s">
        <v>164</v>
      </c>
      <c r="F2559" s="16" t="s">
        <v>165</v>
      </c>
      <c r="G2559" s="8" t="s">
        <v>1344</v>
      </c>
      <c r="H2559" s="8" t="s">
        <v>1345</v>
      </c>
      <c r="I2559" s="16" t="s">
        <v>138</v>
      </c>
      <c r="J2559" s="16">
        <v>17.807057275971999</v>
      </c>
      <c r="K2559" s="16">
        <v>-96.958878005816004</v>
      </c>
      <c r="L2559" s="16" t="str">
        <f>HYPERLINK("https://maps.google.com/?q=17.807057275972,-96.958878005816", "🔗 Ver Mapa")</f>
        <v>🔗 Ver Mapa</v>
      </c>
    </row>
    <row r="2560" spans="1:12" ht="43.5" x14ac:dyDescent="0.35">
      <c r="A2560" s="6" t="s">
        <v>1</v>
      </c>
      <c r="B2560" s="6" t="s">
        <v>14</v>
      </c>
      <c r="C2560" s="6" t="s">
        <v>1346</v>
      </c>
      <c r="D2560" s="11" t="s">
        <v>61</v>
      </c>
      <c r="E2560" s="17" t="s">
        <v>73</v>
      </c>
      <c r="F2560" s="17" t="s">
        <v>187</v>
      </c>
      <c r="G2560" s="11" t="s">
        <v>1347</v>
      </c>
      <c r="H2560" s="11" t="s">
        <v>1348</v>
      </c>
      <c r="I2560" s="17" t="s">
        <v>138</v>
      </c>
      <c r="J2560" s="17">
        <v>17.380419508345</v>
      </c>
      <c r="K2560" s="17">
        <v>-97.344706982733001</v>
      </c>
      <c r="L2560" s="17" t="str">
        <f>HYPERLINK("https://maps.google.com/?q=17.380419508345,-97.344706982733", "🔗 Ver Mapa")</f>
        <v>🔗 Ver Mapa</v>
      </c>
    </row>
    <row r="2561" spans="1:12" ht="43.5" x14ac:dyDescent="0.35">
      <c r="A2561" s="5" t="s">
        <v>7</v>
      </c>
      <c r="B2561" s="5" t="s">
        <v>20</v>
      </c>
      <c r="C2561" s="5" t="s">
        <v>1349</v>
      </c>
      <c r="D2561" s="8" t="s">
        <v>67</v>
      </c>
      <c r="E2561" s="16" t="s">
        <v>164</v>
      </c>
      <c r="F2561" s="16" t="s">
        <v>165</v>
      </c>
      <c r="G2561" s="8" t="s">
        <v>243</v>
      </c>
      <c r="H2561" s="8" t="s">
        <v>1350</v>
      </c>
      <c r="I2561" s="16" t="s">
        <v>138</v>
      </c>
      <c r="J2561" s="16">
        <v>17.940694000000001</v>
      </c>
      <c r="K2561" s="16">
        <v>-96.869480999999993</v>
      </c>
      <c r="L2561" s="16" t="str">
        <f>HYPERLINK("https://maps.google.com/?q=17.940694,-96.869481", "🔗 Ver Mapa")</f>
        <v>🔗 Ver Mapa</v>
      </c>
    </row>
    <row r="2562" spans="1:12" ht="43.5" x14ac:dyDescent="0.35">
      <c r="A2562" s="6" t="s">
        <v>7</v>
      </c>
      <c r="B2562" s="6" t="s">
        <v>20</v>
      </c>
      <c r="C2562" s="6" t="s">
        <v>1349</v>
      </c>
      <c r="D2562" s="11" t="s">
        <v>67</v>
      </c>
      <c r="E2562" s="17" t="s">
        <v>164</v>
      </c>
      <c r="F2562" s="17" t="s">
        <v>165</v>
      </c>
      <c r="G2562" s="11" t="s">
        <v>243</v>
      </c>
      <c r="H2562" s="11" t="s">
        <v>1350</v>
      </c>
      <c r="I2562" s="17" t="s">
        <v>138</v>
      </c>
      <c r="J2562" s="17">
        <v>17.940978999999999</v>
      </c>
      <c r="K2562" s="17">
        <v>-96.869033999999999</v>
      </c>
      <c r="L2562" s="17" t="str">
        <f>HYPERLINK("https://maps.google.com/?q=17.940979,-96.869034", "🔗 Ver Mapa")</f>
        <v>🔗 Ver Mapa</v>
      </c>
    </row>
    <row r="2563" spans="1:12" ht="43.5" x14ac:dyDescent="0.35">
      <c r="A2563" s="5" t="s">
        <v>7</v>
      </c>
      <c r="B2563" s="5" t="s">
        <v>20</v>
      </c>
      <c r="C2563" s="5" t="s">
        <v>1349</v>
      </c>
      <c r="D2563" s="8" t="s">
        <v>67</v>
      </c>
      <c r="E2563" s="16" t="s">
        <v>164</v>
      </c>
      <c r="F2563" s="16" t="s">
        <v>165</v>
      </c>
      <c r="G2563" s="8" t="s">
        <v>243</v>
      </c>
      <c r="H2563" s="8" t="s">
        <v>1350</v>
      </c>
      <c r="I2563" s="16" t="s">
        <v>138</v>
      </c>
      <c r="J2563" s="16">
        <v>17.941272000000001</v>
      </c>
      <c r="K2563" s="16">
        <v>-96.868606</v>
      </c>
      <c r="L2563" s="16" t="str">
        <f>HYPERLINK("https://maps.google.com/?q=17.941272,-96.868606", "🔗 Ver Mapa")</f>
        <v>🔗 Ver Mapa</v>
      </c>
    </row>
    <row r="2564" spans="1:12" ht="43.5" x14ac:dyDescent="0.35">
      <c r="A2564" s="6" t="s">
        <v>7</v>
      </c>
      <c r="B2564" s="6" t="s">
        <v>20</v>
      </c>
      <c r="C2564" s="6" t="s">
        <v>1349</v>
      </c>
      <c r="D2564" s="11" t="s">
        <v>67</v>
      </c>
      <c r="E2564" s="17" t="s">
        <v>164</v>
      </c>
      <c r="F2564" s="17" t="s">
        <v>165</v>
      </c>
      <c r="G2564" s="11" t="s">
        <v>243</v>
      </c>
      <c r="H2564" s="11" t="s">
        <v>1350</v>
      </c>
      <c r="I2564" s="17" t="s">
        <v>138</v>
      </c>
      <c r="J2564" s="17">
        <v>17.941638000000001</v>
      </c>
      <c r="K2564" s="17">
        <v>-96.868251999999998</v>
      </c>
      <c r="L2564" s="17" t="str">
        <f>HYPERLINK("https://maps.google.com/?q=17.941638,-96.868252", "🔗 Ver Mapa")</f>
        <v>🔗 Ver Mapa</v>
      </c>
    </row>
    <row r="2565" spans="1:12" ht="58" x14ac:dyDescent="0.35">
      <c r="A2565" s="5" t="s">
        <v>1</v>
      </c>
      <c r="B2565" s="5" t="s">
        <v>14</v>
      </c>
      <c r="C2565" s="5" t="s">
        <v>1351</v>
      </c>
      <c r="D2565" s="8" t="s">
        <v>61</v>
      </c>
      <c r="E2565" s="16" t="s">
        <v>79</v>
      </c>
      <c r="F2565" s="16" t="s">
        <v>91</v>
      </c>
      <c r="G2565" s="8" t="s">
        <v>1352</v>
      </c>
      <c r="H2565" s="8" t="s">
        <v>1353</v>
      </c>
      <c r="I2565" s="16" t="s">
        <v>138</v>
      </c>
      <c r="J2565" s="16">
        <v>16.634780606863998</v>
      </c>
      <c r="K2565" s="16">
        <v>-97.039692484450995</v>
      </c>
      <c r="L2565" s="16" t="str">
        <f>HYPERLINK("https://maps.google.com/?q=16.634780606864,-97.039692484451", "🔗 Ver Mapa")</f>
        <v>🔗 Ver Mapa</v>
      </c>
    </row>
    <row r="2566" spans="1:12" ht="58" x14ac:dyDescent="0.35">
      <c r="A2566" s="6" t="s">
        <v>1</v>
      </c>
      <c r="B2566" s="6" t="s">
        <v>14</v>
      </c>
      <c r="C2566" s="6" t="s">
        <v>1354</v>
      </c>
      <c r="D2566" s="11" t="s">
        <v>61</v>
      </c>
      <c r="E2566" s="17" t="s">
        <v>73</v>
      </c>
      <c r="F2566" s="17" t="s">
        <v>187</v>
      </c>
      <c r="G2566" s="11" t="s">
        <v>1355</v>
      </c>
      <c r="H2566" s="11" t="s">
        <v>1356</v>
      </c>
      <c r="I2566" s="17" t="s">
        <v>138</v>
      </c>
      <c r="J2566" s="17">
        <v>17.320816728478</v>
      </c>
      <c r="K2566" s="17">
        <v>-97.218887602891002</v>
      </c>
      <c r="L2566" s="17" t="str">
        <f>HYPERLINK("https://maps.google.com/?q=17.320816728478,-97.218887602891", "🔗 Ver Mapa")</f>
        <v>🔗 Ver Mapa</v>
      </c>
    </row>
    <row r="2567" spans="1:12" ht="43.5" x14ac:dyDescent="0.35">
      <c r="A2567" s="5" t="s">
        <v>291</v>
      </c>
      <c r="B2567" s="5" t="s">
        <v>292</v>
      </c>
      <c r="C2567" s="5" t="s">
        <v>1357</v>
      </c>
      <c r="D2567" s="8" t="s">
        <v>294</v>
      </c>
      <c r="E2567" s="16" t="s">
        <v>75</v>
      </c>
      <c r="F2567" s="16" t="s">
        <v>86</v>
      </c>
      <c r="G2567" s="8" t="s">
        <v>112</v>
      </c>
      <c r="H2567" s="8" t="s">
        <v>295</v>
      </c>
      <c r="I2567" s="16" t="s">
        <v>296</v>
      </c>
      <c r="J2567" s="16">
        <v>17.041383</v>
      </c>
      <c r="K2567" s="16">
        <v>-96.722395000000006</v>
      </c>
      <c r="L2567" s="16" t="str">
        <f>HYPERLINK("https://maps.google.com/?q=17.041383,-96.722395", "🔗 Ver Mapa")</f>
        <v>🔗 Ver Mapa</v>
      </c>
    </row>
    <row r="2568" spans="1:12" ht="43.5" x14ac:dyDescent="0.35">
      <c r="A2568" s="6" t="s">
        <v>291</v>
      </c>
      <c r="B2568" s="6" t="s">
        <v>292</v>
      </c>
      <c r="C2568" s="6" t="s">
        <v>1357</v>
      </c>
      <c r="D2568" s="11" t="s">
        <v>294</v>
      </c>
      <c r="E2568" s="17" t="s">
        <v>75</v>
      </c>
      <c r="F2568" s="17" t="s">
        <v>86</v>
      </c>
      <c r="G2568" s="11" t="s">
        <v>112</v>
      </c>
      <c r="H2568" s="11" t="s">
        <v>295</v>
      </c>
      <c r="I2568" s="17" t="s">
        <v>296</v>
      </c>
      <c r="J2568" s="17">
        <v>17.041969000000002</v>
      </c>
      <c r="K2568" s="17">
        <v>-96.722342999999995</v>
      </c>
      <c r="L2568" s="17" t="str">
        <f>HYPERLINK("https://maps.google.com/?q=17.041969,-96.722343", "🔗 Ver Mapa")</f>
        <v>🔗 Ver Mapa</v>
      </c>
    </row>
    <row r="2569" spans="1:12" ht="43.5" x14ac:dyDescent="0.35">
      <c r="A2569" s="5" t="s">
        <v>7</v>
      </c>
      <c r="B2569" s="5" t="s">
        <v>20</v>
      </c>
      <c r="C2569" s="5" t="s">
        <v>1358</v>
      </c>
      <c r="D2569" s="8" t="s">
        <v>67</v>
      </c>
      <c r="E2569" s="16" t="s">
        <v>78</v>
      </c>
      <c r="F2569" s="16" t="s">
        <v>399</v>
      </c>
      <c r="G2569" s="8" t="s">
        <v>1359</v>
      </c>
      <c r="H2569" s="8" t="s">
        <v>1360</v>
      </c>
      <c r="I2569" s="16" t="s">
        <v>138</v>
      </c>
      <c r="J2569" s="16">
        <v>17.434211999999999</v>
      </c>
      <c r="K2569" s="16">
        <v>-96.656954999999996</v>
      </c>
      <c r="L2569" s="16" t="str">
        <f>HYPERLINK("https://maps.google.com/?q=17.434212,-96.656955", "🔗 Ver Mapa")</f>
        <v>🔗 Ver Mapa</v>
      </c>
    </row>
    <row r="2570" spans="1:12" ht="58" x14ac:dyDescent="0.35">
      <c r="A2570" s="6" t="s">
        <v>1</v>
      </c>
      <c r="B2570" s="6" t="s">
        <v>14</v>
      </c>
      <c r="C2570" s="6" t="s">
        <v>1361</v>
      </c>
      <c r="D2570" s="11" t="s">
        <v>61</v>
      </c>
      <c r="E2570" s="17" t="s">
        <v>75</v>
      </c>
      <c r="F2570" s="17" t="s">
        <v>84</v>
      </c>
      <c r="G2570" s="11" t="s">
        <v>1314</v>
      </c>
      <c r="H2570" s="11" t="s">
        <v>1315</v>
      </c>
      <c r="I2570" s="17" t="s">
        <v>138</v>
      </c>
      <c r="J2570" s="17">
        <v>16.774243170662</v>
      </c>
      <c r="K2570" s="17">
        <v>-96.029215268312001</v>
      </c>
      <c r="L2570" s="17" t="str">
        <f>HYPERLINK("https://maps.google.com/?q=16.774243170662,-96.029215268312", "🔗 Ver Mapa")</f>
        <v>🔗 Ver Mapa</v>
      </c>
    </row>
    <row r="2571" spans="1:12" ht="43.5" x14ac:dyDescent="0.35">
      <c r="A2571" s="5" t="s">
        <v>291</v>
      </c>
      <c r="B2571" s="5" t="s">
        <v>292</v>
      </c>
      <c r="C2571" s="5" t="s">
        <v>1362</v>
      </c>
      <c r="D2571" s="8" t="s">
        <v>64</v>
      </c>
      <c r="E2571" s="16" t="s">
        <v>75</v>
      </c>
      <c r="F2571" s="16" t="s">
        <v>86</v>
      </c>
      <c r="G2571" s="8" t="s">
        <v>103</v>
      </c>
      <c r="H2571" s="8" t="s">
        <v>125</v>
      </c>
      <c r="I2571" s="16" t="s">
        <v>296</v>
      </c>
      <c r="J2571" s="16">
        <v>17.086817308600001</v>
      </c>
      <c r="K2571" s="16">
        <v>-96.737727208999999</v>
      </c>
      <c r="L2571" s="16" t="str">
        <f>HYPERLINK("https://maps.google.com/?q=17.0868173086,-96.737727209", "🔗 Ver Mapa")</f>
        <v>🔗 Ver Mapa</v>
      </c>
    </row>
    <row r="2572" spans="1:12" ht="43.5" x14ac:dyDescent="0.35">
      <c r="A2572" s="6" t="s">
        <v>291</v>
      </c>
      <c r="B2572" s="6" t="s">
        <v>292</v>
      </c>
      <c r="C2572" s="6" t="s">
        <v>1362</v>
      </c>
      <c r="D2572" s="11" t="s">
        <v>64</v>
      </c>
      <c r="E2572" s="17" t="s">
        <v>75</v>
      </c>
      <c r="F2572" s="17" t="s">
        <v>86</v>
      </c>
      <c r="G2572" s="11" t="s">
        <v>103</v>
      </c>
      <c r="H2572" s="11" t="s">
        <v>125</v>
      </c>
      <c r="I2572" s="17" t="s">
        <v>296</v>
      </c>
      <c r="J2572" s="17">
        <v>17.086820357499999</v>
      </c>
      <c r="K2572" s="17">
        <v>-96.737685743</v>
      </c>
      <c r="L2572" s="17" t="str">
        <f>HYPERLINK("https://maps.google.com/?q=17.0868203575,-96.737685743", "🔗 Ver Mapa")</f>
        <v>🔗 Ver Mapa</v>
      </c>
    </row>
    <row r="2573" spans="1:12" ht="43.5" x14ac:dyDescent="0.35">
      <c r="A2573" s="5" t="s">
        <v>291</v>
      </c>
      <c r="B2573" s="5" t="s">
        <v>292</v>
      </c>
      <c r="C2573" s="5" t="s">
        <v>1362</v>
      </c>
      <c r="D2573" s="8" t="s">
        <v>64</v>
      </c>
      <c r="E2573" s="16" t="s">
        <v>75</v>
      </c>
      <c r="F2573" s="16" t="s">
        <v>86</v>
      </c>
      <c r="G2573" s="8" t="s">
        <v>103</v>
      </c>
      <c r="H2573" s="8" t="s">
        <v>125</v>
      </c>
      <c r="I2573" s="16" t="s">
        <v>296</v>
      </c>
      <c r="J2573" s="16">
        <v>17.086982949999999</v>
      </c>
      <c r="K2573" s="16">
        <v>-96.737758968999998</v>
      </c>
      <c r="L2573" s="16" t="str">
        <f>HYPERLINK("https://maps.google.com/?q=17.08698295,-96.737758969", "🔗 Ver Mapa")</f>
        <v>🔗 Ver Mapa</v>
      </c>
    </row>
    <row r="2574" spans="1:12" ht="43.5" x14ac:dyDescent="0.35">
      <c r="A2574" s="6" t="s">
        <v>291</v>
      </c>
      <c r="B2574" s="6" t="s">
        <v>292</v>
      </c>
      <c r="C2574" s="6" t="s">
        <v>1362</v>
      </c>
      <c r="D2574" s="11" t="s">
        <v>64</v>
      </c>
      <c r="E2574" s="17" t="s">
        <v>75</v>
      </c>
      <c r="F2574" s="17" t="s">
        <v>86</v>
      </c>
      <c r="G2574" s="11" t="s">
        <v>103</v>
      </c>
      <c r="H2574" s="11" t="s">
        <v>125</v>
      </c>
      <c r="I2574" s="17" t="s">
        <v>296</v>
      </c>
      <c r="J2574" s="17">
        <v>17.087038869600001</v>
      </c>
      <c r="K2574" s="17">
        <v>-96.737714750400002</v>
      </c>
      <c r="L2574" s="17" t="str">
        <f>HYPERLINK("https://maps.google.com/?q=17.0870388696,-96.7377147504", "🔗 Ver Mapa")</f>
        <v>🔗 Ver Mapa</v>
      </c>
    </row>
    <row r="2575" spans="1:12" ht="43.5" x14ac:dyDescent="0.35">
      <c r="A2575" s="5" t="s">
        <v>291</v>
      </c>
      <c r="B2575" s="5" t="s">
        <v>292</v>
      </c>
      <c r="C2575" s="5" t="s">
        <v>1362</v>
      </c>
      <c r="D2575" s="8" t="s">
        <v>64</v>
      </c>
      <c r="E2575" s="16" t="s">
        <v>75</v>
      </c>
      <c r="F2575" s="16" t="s">
        <v>86</v>
      </c>
      <c r="G2575" s="8" t="s">
        <v>103</v>
      </c>
      <c r="H2575" s="8" t="s">
        <v>125</v>
      </c>
      <c r="I2575" s="16" t="s">
        <v>296</v>
      </c>
      <c r="J2575" s="16">
        <v>17.087786966399999</v>
      </c>
      <c r="K2575" s="16">
        <v>-96.737669827999994</v>
      </c>
      <c r="L2575" s="16" t="str">
        <f>HYPERLINK("https://maps.google.com/?q=17.0877869664,-96.737669828", "🔗 Ver Mapa")</f>
        <v>🔗 Ver Mapa</v>
      </c>
    </row>
    <row r="2576" spans="1:12" ht="43.5" x14ac:dyDescent="0.35">
      <c r="A2576" s="6" t="s">
        <v>291</v>
      </c>
      <c r="B2576" s="6" t="s">
        <v>292</v>
      </c>
      <c r="C2576" s="6" t="s">
        <v>1362</v>
      </c>
      <c r="D2576" s="11" t="s">
        <v>64</v>
      </c>
      <c r="E2576" s="17" t="s">
        <v>75</v>
      </c>
      <c r="F2576" s="17" t="s">
        <v>86</v>
      </c>
      <c r="G2576" s="11" t="s">
        <v>103</v>
      </c>
      <c r="H2576" s="11" t="s">
        <v>125</v>
      </c>
      <c r="I2576" s="17" t="s">
        <v>296</v>
      </c>
      <c r="J2576" s="17">
        <v>17.087919729300001</v>
      </c>
      <c r="K2576" s="17">
        <v>-96.737624714399999</v>
      </c>
      <c r="L2576" s="17" t="str">
        <f>HYPERLINK("https://maps.google.com/?q=17.0879197293,-96.7376247144", "🔗 Ver Mapa")</f>
        <v>🔗 Ver Mapa</v>
      </c>
    </row>
    <row r="2577" spans="1:12" ht="43.5" x14ac:dyDescent="0.35">
      <c r="A2577" s="5" t="s">
        <v>291</v>
      </c>
      <c r="B2577" s="5" t="s">
        <v>292</v>
      </c>
      <c r="C2577" s="5" t="s">
        <v>1362</v>
      </c>
      <c r="D2577" s="8" t="s">
        <v>64</v>
      </c>
      <c r="E2577" s="16" t="s">
        <v>75</v>
      </c>
      <c r="F2577" s="16" t="s">
        <v>86</v>
      </c>
      <c r="G2577" s="8" t="s">
        <v>103</v>
      </c>
      <c r="H2577" s="8" t="s">
        <v>125</v>
      </c>
      <c r="I2577" s="16" t="s">
        <v>296</v>
      </c>
      <c r="J2577" s="16">
        <v>17.087934417690001</v>
      </c>
      <c r="K2577" s="16">
        <v>-96.737679188200005</v>
      </c>
      <c r="L2577" s="16" t="str">
        <f>HYPERLINK("https://maps.google.com/?q=17.08793441769,-96.7376791882", "🔗 Ver Mapa")</f>
        <v>🔗 Ver Mapa</v>
      </c>
    </row>
    <row r="2578" spans="1:12" ht="43.5" x14ac:dyDescent="0.35">
      <c r="A2578" s="6" t="s">
        <v>291</v>
      </c>
      <c r="B2578" s="6" t="s">
        <v>292</v>
      </c>
      <c r="C2578" s="6" t="s">
        <v>1362</v>
      </c>
      <c r="D2578" s="11" t="s">
        <v>64</v>
      </c>
      <c r="E2578" s="17" t="s">
        <v>75</v>
      </c>
      <c r="F2578" s="17" t="s">
        <v>86</v>
      </c>
      <c r="G2578" s="11" t="s">
        <v>103</v>
      </c>
      <c r="H2578" s="11" t="s">
        <v>125</v>
      </c>
      <c r="I2578" s="17" t="s">
        <v>296</v>
      </c>
      <c r="J2578" s="17">
        <v>17.088241387250001</v>
      </c>
      <c r="K2578" s="17">
        <v>-96.737741138000004</v>
      </c>
      <c r="L2578" s="17" t="str">
        <f>HYPERLINK("https://maps.google.com/?q=17.08824138725,-96.737741138", "🔗 Ver Mapa")</f>
        <v>🔗 Ver Mapa</v>
      </c>
    </row>
    <row r="2579" spans="1:12" ht="43.5" x14ac:dyDescent="0.35">
      <c r="A2579" s="5" t="s">
        <v>291</v>
      </c>
      <c r="B2579" s="5" t="s">
        <v>292</v>
      </c>
      <c r="C2579" s="5" t="s">
        <v>1362</v>
      </c>
      <c r="D2579" s="8" t="s">
        <v>64</v>
      </c>
      <c r="E2579" s="16" t="s">
        <v>75</v>
      </c>
      <c r="F2579" s="16" t="s">
        <v>86</v>
      </c>
      <c r="G2579" s="8" t="s">
        <v>103</v>
      </c>
      <c r="H2579" s="8" t="s">
        <v>125</v>
      </c>
      <c r="I2579" s="16" t="s">
        <v>296</v>
      </c>
      <c r="J2579" s="16">
        <v>17.088331806679999</v>
      </c>
      <c r="K2579" s="16">
        <v>-96.737810616000004</v>
      </c>
      <c r="L2579" s="16" t="str">
        <f>HYPERLINK("https://maps.google.com/?q=17.08833180668,-96.737810616", "🔗 Ver Mapa")</f>
        <v>🔗 Ver Mapa</v>
      </c>
    </row>
    <row r="2580" spans="1:12" ht="43.5" x14ac:dyDescent="0.35">
      <c r="A2580" s="6" t="s">
        <v>291</v>
      </c>
      <c r="B2580" s="6" t="s">
        <v>292</v>
      </c>
      <c r="C2580" s="6" t="s">
        <v>1362</v>
      </c>
      <c r="D2580" s="11" t="s">
        <v>64</v>
      </c>
      <c r="E2580" s="17" t="s">
        <v>75</v>
      </c>
      <c r="F2580" s="17" t="s">
        <v>86</v>
      </c>
      <c r="G2580" s="11" t="s">
        <v>103</v>
      </c>
      <c r="H2580" s="11" t="s">
        <v>125</v>
      </c>
      <c r="I2580" s="17" t="s">
        <v>296</v>
      </c>
      <c r="J2580" s="17">
        <v>17.088372489299999</v>
      </c>
      <c r="K2580" s="17">
        <v>-96.737777820000005</v>
      </c>
      <c r="L2580" s="17" t="str">
        <f>HYPERLINK("https://maps.google.com/?q=17.0883724893,-96.73777782", "🔗 Ver Mapa")</f>
        <v>🔗 Ver Mapa</v>
      </c>
    </row>
    <row r="2581" spans="1:12" ht="43.5" x14ac:dyDescent="0.35">
      <c r="A2581" s="5" t="s">
        <v>291</v>
      </c>
      <c r="B2581" s="5" t="s">
        <v>292</v>
      </c>
      <c r="C2581" s="5" t="s">
        <v>1362</v>
      </c>
      <c r="D2581" s="8" t="s">
        <v>64</v>
      </c>
      <c r="E2581" s="16" t="s">
        <v>75</v>
      </c>
      <c r="F2581" s="16" t="s">
        <v>86</v>
      </c>
      <c r="G2581" s="8" t="s">
        <v>103</v>
      </c>
      <c r="H2581" s="8" t="s">
        <v>125</v>
      </c>
      <c r="I2581" s="16" t="s">
        <v>296</v>
      </c>
      <c r="J2581" s="16">
        <v>17.088488198</v>
      </c>
      <c r="K2581" s="16">
        <v>-96.73779854</v>
      </c>
      <c r="L2581" s="16" t="str">
        <f>HYPERLINK("https://maps.google.com/?q=17.088488198,-96.73779854", "🔗 Ver Mapa")</f>
        <v>🔗 Ver Mapa</v>
      </c>
    </row>
    <row r="2582" spans="1:12" ht="43.5" x14ac:dyDescent="0.35">
      <c r="A2582" s="6" t="s">
        <v>291</v>
      </c>
      <c r="B2582" s="6" t="s">
        <v>292</v>
      </c>
      <c r="C2582" s="6" t="s">
        <v>1362</v>
      </c>
      <c r="D2582" s="11" t="s">
        <v>64</v>
      </c>
      <c r="E2582" s="17" t="s">
        <v>75</v>
      </c>
      <c r="F2582" s="17" t="s">
        <v>86</v>
      </c>
      <c r="G2582" s="11" t="s">
        <v>103</v>
      </c>
      <c r="H2582" s="11" t="s">
        <v>125</v>
      </c>
      <c r="I2582" s="17" t="s">
        <v>296</v>
      </c>
      <c r="J2582" s="17">
        <v>17.088564325278998</v>
      </c>
      <c r="K2582" s="17">
        <v>-96.737732944000001</v>
      </c>
      <c r="L2582" s="17" t="str">
        <f>HYPERLINK("https://maps.google.com/?q=17.088564325279,-96.737732944", "🔗 Ver Mapa")</f>
        <v>🔗 Ver Mapa</v>
      </c>
    </row>
    <row r="2583" spans="1:12" ht="43.5" x14ac:dyDescent="0.35">
      <c r="A2583" s="5" t="s">
        <v>291</v>
      </c>
      <c r="B2583" s="5" t="s">
        <v>292</v>
      </c>
      <c r="C2583" s="5" t="s">
        <v>1362</v>
      </c>
      <c r="D2583" s="8" t="s">
        <v>64</v>
      </c>
      <c r="E2583" s="16" t="s">
        <v>75</v>
      </c>
      <c r="F2583" s="16" t="s">
        <v>86</v>
      </c>
      <c r="G2583" s="8" t="s">
        <v>103</v>
      </c>
      <c r="H2583" s="8" t="s">
        <v>125</v>
      </c>
      <c r="I2583" s="16" t="s">
        <v>296</v>
      </c>
      <c r="J2583" s="16">
        <v>17.088839437800001</v>
      </c>
      <c r="K2583" s="16">
        <v>-96.737634931000002</v>
      </c>
      <c r="L2583" s="16" t="str">
        <f>HYPERLINK("https://maps.google.com/?q=17.0888394378,-96.737634931", "🔗 Ver Mapa")</f>
        <v>🔗 Ver Mapa</v>
      </c>
    </row>
    <row r="2584" spans="1:12" ht="43.5" x14ac:dyDescent="0.35">
      <c r="A2584" s="6" t="s">
        <v>291</v>
      </c>
      <c r="B2584" s="6" t="s">
        <v>292</v>
      </c>
      <c r="C2584" s="6" t="s">
        <v>1362</v>
      </c>
      <c r="D2584" s="11" t="s">
        <v>64</v>
      </c>
      <c r="E2584" s="17" t="s">
        <v>75</v>
      </c>
      <c r="F2584" s="17" t="s">
        <v>86</v>
      </c>
      <c r="G2584" s="11" t="s">
        <v>103</v>
      </c>
      <c r="H2584" s="11" t="s">
        <v>125</v>
      </c>
      <c r="I2584" s="17" t="s">
        <v>296</v>
      </c>
      <c r="J2584" s="17">
        <v>17.088895054000002</v>
      </c>
      <c r="K2584" s="17">
        <v>-96.737563965000007</v>
      </c>
      <c r="L2584" s="17" t="str">
        <f>HYPERLINK("https://maps.google.com/?q=17.088895054,-96.737563965", "🔗 Ver Mapa")</f>
        <v>🔗 Ver Mapa</v>
      </c>
    </row>
    <row r="2585" spans="1:12" ht="43.5" x14ac:dyDescent="0.35">
      <c r="A2585" s="5" t="s">
        <v>291</v>
      </c>
      <c r="B2585" s="5" t="s">
        <v>292</v>
      </c>
      <c r="C2585" s="5" t="s">
        <v>1362</v>
      </c>
      <c r="D2585" s="8" t="s">
        <v>64</v>
      </c>
      <c r="E2585" s="16" t="s">
        <v>75</v>
      </c>
      <c r="F2585" s="16" t="s">
        <v>86</v>
      </c>
      <c r="G2585" s="8" t="s">
        <v>103</v>
      </c>
      <c r="H2585" s="8" t="s">
        <v>125</v>
      </c>
      <c r="I2585" s="16" t="s">
        <v>296</v>
      </c>
      <c r="J2585" s="16">
        <v>17.089104594489999</v>
      </c>
      <c r="K2585" s="16">
        <v>-96.737418890000001</v>
      </c>
      <c r="L2585" s="16" t="str">
        <f>HYPERLINK("https://maps.google.com/?q=17.08910459449,-96.73741889", "🔗 Ver Mapa")</f>
        <v>🔗 Ver Mapa</v>
      </c>
    </row>
    <row r="2586" spans="1:12" ht="43.5" x14ac:dyDescent="0.35">
      <c r="A2586" s="6" t="s">
        <v>291</v>
      </c>
      <c r="B2586" s="6" t="s">
        <v>292</v>
      </c>
      <c r="C2586" s="6" t="s">
        <v>1362</v>
      </c>
      <c r="D2586" s="11" t="s">
        <v>64</v>
      </c>
      <c r="E2586" s="17" t="s">
        <v>75</v>
      </c>
      <c r="F2586" s="17" t="s">
        <v>86</v>
      </c>
      <c r="G2586" s="11" t="s">
        <v>103</v>
      </c>
      <c r="H2586" s="11" t="s">
        <v>125</v>
      </c>
      <c r="I2586" s="17" t="s">
        <v>296</v>
      </c>
      <c r="J2586" s="17">
        <v>17.089218805320002</v>
      </c>
      <c r="K2586" s="17">
        <v>-96.737335441300004</v>
      </c>
      <c r="L2586" s="17" t="str">
        <f>HYPERLINK("https://maps.google.com/?q=17.08921880532,-96.7373354413", "🔗 Ver Mapa")</f>
        <v>🔗 Ver Mapa</v>
      </c>
    </row>
    <row r="2587" spans="1:12" ht="43.5" x14ac:dyDescent="0.35">
      <c r="A2587" s="5" t="s">
        <v>291</v>
      </c>
      <c r="B2587" s="5" t="s">
        <v>292</v>
      </c>
      <c r="C2587" s="5" t="s">
        <v>1362</v>
      </c>
      <c r="D2587" s="8" t="s">
        <v>64</v>
      </c>
      <c r="E2587" s="16" t="s">
        <v>75</v>
      </c>
      <c r="F2587" s="16" t="s">
        <v>86</v>
      </c>
      <c r="G2587" s="8" t="s">
        <v>103</v>
      </c>
      <c r="H2587" s="8" t="s">
        <v>125</v>
      </c>
      <c r="I2587" s="16" t="s">
        <v>296</v>
      </c>
      <c r="J2587" s="16">
        <v>17.089261674999999</v>
      </c>
      <c r="K2587" s="16">
        <v>-96.7372716048</v>
      </c>
      <c r="L2587" s="16" t="str">
        <f>HYPERLINK("https://maps.google.com/?q=17.089261675,-96.7372716048", "🔗 Ver Mapa")</f>
        <v>🔗 Ver Mapa</v>
      </c>
    </row>
    <row r="2588" spans="1:12" ht="43.5" x14ac:dyDescent="0.35">
      <c r="A2588" s="6" t="s">
        <v>291</v>
      </c>
      <c r="B2588" s="6" t="s">
        <v>292</v>
      </c>
      <c r="C2588" s="6" t="s">
        <v>1362</v>
      </c>
      <c r="D2588" s="11" t="s">
        <v>64</v>
      </c>
      <c r="E2588" s="17" t="s">
        <v>75</v>
      </c>
      <c r="F2588" s="17" t="s">
        <v>86</v>
      </c>
      <c r="G2588" s="11" t="s">
        <v>103</v>
      </c>
      <c r="H2588" s="11" t="s">
        <v>125</v>
      </c>
      <c r="I2588" s="17" t="s">
        <v>296</v>
      </c>
      <c r="J2588" s="17">
        <v>17.089516639747</v>
      </c>
      <c r="K2588" s="17">
        <v>-96.736778094223993</v>
      </c>
      <c r="L2588" s="17" t="str">
        <f>HYPERLINK("https://maps.google.com/?q=17.089516639747,-96.736778094224", "🔗 Ver Mapa")</f>
        <v>🔗 Ver Mapa</v>
      </c>
    </row>
    <row r="2589" spans="1:12" ht="43.5" x14ac:dyDescent="0.35">
      <c r="A2589" s="5" t="s">
        <v>291</v>
      </c>
      <c r="B2589" s="5" t="s">
        <v>292</v>
      </c>
      <c r="C2589" s="5" t="s">
        <v>1362</v>
      </c>
      <c r="D2589" s="8" t="s">
        <v>64</v>
      </c>
      <c r="E2589" s="16" t="s">
        <v>75</v>
      </c>
      <c r="F2589" s="16" t="s">
        <v>86</v>
      </c>
      <c r="G2589" s="8" t="s">
        <v>103</v>
      </c>
      <c r="H2589" s="8" t="s">
        <v>125</v>
      </c>
      <c r="I2589" s="16" t="s">
        <v>296</v>
      </c>
      <c r="J2589" s="16">
        <v>17.089536581280999</v>
      </c>
      <c r="K2589" s="16">
        <v>-96.736590330016</v>
      </c>
      <c r="L2589" s="16" t="str">
        <f>HYPERLINK("https://maps.google.com/?q=17.089536581281,-96.736590330016", "🔗 Ver Mapa")</f>
        <v>🔗 Ver Mapa</v>
      </c>
    </row>
    <row r="2590" spans="1:12" ht="43.5" x14ac:dyDescent="0.35">
      <c r="A2590" s="6" t="s">
        <v>291</v>
      </c>
      <c r="B2590" s="6" t="s">
        <v>292</v>
      </c>
      <c r="C2590" s="6" t="s">
        <v>1362</v>
      </c>
      <c r="D2590" s="11" t="s">
        <v>64</v>
      </c>
      <c r="E2590" s="17" t="s">
        <v>75</v>
      </c>
      <c r="F2590" s="17" t="s">
        <v>86</v>
      </c>
      <c r="G2590" s="11" t="s">
        <v>103</v>
      </c>
      <c r="H2590" s="11" t="s">
        <v>125</v>
      </c>
      <c r="I2590" s="17" t="s">
        <v>296</v>
      </c>
      <c r="J2590" s="17">
        <v>17.089543159769001</v>
      </c>
      <c r="K2590" s="17">
        <v>-96.737121414200004</v>
      </c>
      <c r="L2590" s="17" t="str">
        <f>HYPERLINK("https://maps.google.com/?q=17.089543159769,-96.7371214142", "🔗 Ver Mapa")</f>
        <v>🔗 Ver Mapa</v>
      </c>
    </row>
    <row r="2591" spans="1:12" ht="43.5" x14ac:dyDescent="0.35">
      <c r="A2591" s="5" t="s">
        <v>291</v>
      </c>
      <c r="B2591" s="5" t="s">
        <v>292</v>
      </c>
      <c r="C2591" s="5" t="s">
        <v>1362</v>
      </c>
      <c r="D2591" s="8" t="s">
        <v>64</v>
      </c>
      <c r="E2591" s="16" t="s">
        <v>75</v>
      </c>
      <c r="F2591" s="16" t="s">
        <v>86</v>
      </c>
      <c r="G2591" s="8" t="s">
        <v>103</v>
      </c>
      <c r="H2591" s="8" t="s">
        <v>125</v>
      </c>
      <c r="I2591" s="16" t="s">
        <v>296</v>
      </c>
      <c r="J2591" s="16">
        <v>17.0895462557</v>
      </c>
      <c r="K2591" s="16">
        <v>-96.737081168000003</v>
      </c>
      <c r="L2591" s="16" t="str">
        <f>HYPERLINK("https://maps.google.com/?q=17.0895462557,-96.737081168", "🔗 Ver Mapa")</f>
        <v>🔗 Ver Mapa</v>
      </c>
    </row>
    <row r="2592" spans="1:12" ht="43.5" x14ac:dyDescent="0.35">
      <c r="A2592" s="6" t="s">
        <v>291</v>
      </c>
      <c r="B2592" s="6" t="s">
        <v>292</v>
      </c>
      <c r="C2592" s="6" t="s">
        <v>1362</v>
      </c>
      <c r="D2592" s="11" t="s">
        <v>64</v>
      </c>
      <c r="E2592" s="17" t="s">
        <v>75</v>
      </c>
      <c r="F2592" s="17" t="s">
        <v>86</v>
      </c>
      <c r="G2592" s="11" t="s">
        <v>103</v>
      </c>
      <c r="H2592" s="11" t="s">
        <v>125</v>
      </c>
      <c r="I2592" s="17" t="s">
        <v>296</v>
      </c>
      <c r="J2592" s="17">
        <v>17.089585528674</v>
      </c>
      <c r="K2592" s="17">
        <v>-96.736525845339003</v>
      </c>
      <c r="L2592" s="17" t="str">
        <f>HYPERLINK("https://maps.google.com/?q=17.089585528674,-96.736525845339", "🔗 Ver Mapa")</f>
        <v>🔗 Ver Mapa</v>
      </c>
    </row>
    <row r="2593" spans="1:12" ht="43.5" x14ac:dyDescent="0.35">
      <c r="A2593" s="5" t="s">
        <v>291</v>
      </c>
      <c r="B2593" s="5" t="s">
        <v>292</v>
      </c>
      <c r="C2593" s="5" t="s">
        <v>1362</v>
      </c>
      <c r="D2593" s="8" t="s">
        <v>64</v>
      </c>
      <c r="E2593" s="16" t="s">
        <v>75</v>
      </c>
      <c r="F2593" s="16" t="s">
        <v>86</v>
      </c>
      <c r="G2593" s="8" t="s">
        <v>103</v>
      </c>
      <c r="H2593" s="8" t="s">
        <v>125</v>
      </c>
      <c r="I2593" s="16" t="s">
        <v>296</v>
      </c>
      <c r="J2593" s="16">
        <v>17.089648806989999</v>
      </c>
      <c r="K2593" s="16">
        <v>-96.736992654999995</v>
      </c>
      <c r="L2593" s="16" t="str">
        <f>HYPERLINK("https://maps.google.com/?q=17.08964880699,-96.736992655", "🔗 Ver Mapa")</f>
        <v>🔗 Ver Mapa</v>
      </c>
    </row>
    <row r="2594" spans="1:12" ht="43.5" x14ac:dyDescent="0.35">
      <c r="A2594" s="6" t="s">
        <v>291</v>
      </c>
      <c r="B2594" s="6" t="s">
        <v>292</v>
      </c>
      <c r="C2594" s="6" t="s">
        <v>1362</v>
      </c>
      <c r="D2594" s="11" t="s">
        <v>64</v>
      </c>
      <c r="E2594" s="17" t="s">
        <v>75</v>
      </c>
      <c r="F2594" s="17" t="s">
        <v>86</v>
      </c>
      <c r="G2594" s="11" t="s">
        <v>103</v>
      </c>
      <c r="H2594" s="11" t="s">
        <v>125</v>
      </c>
      <c r="I2594" s="17" t="s">
        <v>296</v>
      </c>
      <c r="J2594" s="17">
        <v>17.089648806989999</v>
      </c>
      <c r="K2594" s="17">
        <v>-96.736992655110001</v>
      </c>
      <c r="L2594" s="17" t="str">
        <f>HYPERLINK("https://maps.google.com/?q=17.08964880699,-96.73699265511", "🔗 Ver Mapa")</f>
        <v>🔗 Ver Mapa</v>
      </c>
    </row>
    <row r="2595" spans="1:12" ht="43.5" x14ac:dyDescent="0.35">
      <c r="A2595" s="5" t="s">
        <v>291</v>
      </c>
      <c r="B2595" s="5" t="s">
        <v>292</v>
      </c>
      <c r="C2595" s="5" t="s">
        <v>1362</v>
      </c>
      <c r="D2595" s="8" t="s">
        <v>64</v>
      </c>
      <c r="E2595" s="16" t="s">
        <v>75</v>
      </c>
      <c r="F2595" s="16" t="s">
        <v>86</v>
      </c>
      <c r="G2595" s="8" t="s">
        <v>103</v>
      </c>
      <c r="H2595" s="8" t="s">
        <v>125</v>
      </c>
      <c r="I2595" s="16" t="s">
        <v>296</v>
      </c>
      <c r="J2595" s="16">
        <v>17.089833355</v>
      </c>
      <c r="K2595" s="16">
        <v>-96.736804849999999</v>
      </c>
      <c r="L2595" s="16" t="str">
        <f>HYPERLINK("https://maps.google.com/?q=17.089833355,-96.73680485", "🔗 Ver Mapa")</f>
        <v>🔗 Ver Mapa</v>
      </c>
    </row>
    <row r="2596" spans="1:12" ht="43.5" x14ac:dyDescent="0.35">
      <c r="A2596" s="6" t="s">
        <v>291</v>
      </c>
      <c r="B2596" s="6" t="s">
        <v>292</v>
      </c>
      <c r="C2596" s="6" t="s">
        <v>1362</v>
      </c>
      <c r="D2596" s="11" t="s">
        <v>64</v>
      </c>
      <c r="E2596" s="17" t="s">
        <v>75</v>
      </c>
      <c r="F2596" s="17" t="s">
        <v>86</v>
      </c>
      <c r="G2596" s="11" t="s">
        <v>103</v>
      </c>
      <c r="H2596" s="11" t="s">
        <v>125</v>
      </c>
      <c r="I2596" s="17" t="s">
        <v>296</v>
      </c>
      <c r="J2596" s="17">
        <v>17.08997175347</v>
      </c>
      <c r="K2596" s="17">
        <v>-96.736737820000002</v>
      </c>
      <c r="L2596" s="17" t="str">
        <f>HYPERLINK("https://maps.google.com/?q=17.08997175347,-96.73673782", "🔗 Ver Mapa")</f>
        <v>🔗 Ver Mapa</v>
      </c>
    </row>
    <row r="2597" spans="1:12" ht="43.5" x14ac:dyDescent="0.35">
      <c r="A2597" s="5" t="s">
        <v>291</v>
      </c>
      <c r="B2597" s="5" t="s">
        <v>292</v>
      </c>
      <c r="C2597" s="5" t="s">
        <v>1362</v>
      </c>
      <c r="D2597" s="8" t="s">
        <v>64</v>
      </c>
      <c r="E2597" s="16" t="s">
        <v>75</v>
      </c>
      <c r="F2597" s="16" t="s">
        <v>86</v>
      </c>
      <c r="G2597" s="8" t="s">
        <v>103</v>
      </c>
      <c r="H2597" s="8" t="s">
        <v>125</v>
      </c>
      <c r="I2597" s="16" t="s">
        <v>296</v>
      </c>
      <c r="J2597" s="16">
        <v>17.090087968574998</v>
      </c>
      <c r="K2597" s="16">
        <v>-96.736761023371997</v>
      </c>
      <c r="L2597" s="16" t="str">
        <f>HYPERLINK("https://maps.google.com/?q=17.090087968575,-96.736761023372", "🔗 Ver Mapa")</f>
        <v>🔗 Ver Mapa</v>
      </c>
    </row>
    <row r="2598" spans="1:12" ht="43.5" x14ac:dyDescent="0.35">
      <c r="A2598" s="6" t="s">
        <v>291</v>
      </c>
      <c r="B2598" s="6" t="s">
        <v>292</v>
      </c>
      <c r="C2598" s="6" t="s">
        <v>1362</v>
      </c>
      <c r="D2598" s="11" t="s">
        <v>64</v>
      </c>
      <c r="E2598" s="17" t="s">
        <v>75</v>
      </c>
      <c r="F2598" s="17" t="s">
        <v>86</v>
      </c>
      <c r="G2598" s="11" t="s">
        <v>103</v>
      </c>
      <c r="H2598" s="11" t="s">
        <v>125</v>
      </c>
      <c r="I2598" s="17" t="s">
        <v>296</v>
      </c>
      <c r="J2598" s="17">
        <v>17.090098865000002</v>
      </c>
      <c r="K2598" s="17">
        <v>-96.736740983999994</v>
      </c>
      <c r="L2598" s="17" t="str">
        <f>HYPERLINK("https://maps.google.com/?q=17.090098865,-96.736740984", "🔗 Ver Mapa")</f>
        <v>🔗 Ver Mapa</v>
      </c>
    </row>
    <row r="2599" spans="1:12" ht="43.5" x14ac:dyDescent="0.35">
      <c r="A2599" s="5" t="s">
        <v>291</v>
      </c>
      <c r="B2599" s="5" t="s">
        <v>292</v>
      </c>
      <c r="C2599" s="5" t="s">
        <v>1362</v>
      </c>
      <c r="D2599" s="8" t="s">
        <v>64</v>
      </c>
      <c r="E2599" s="16" t="s">
        <v>75</v>
      </c>
      <c r="F2599" s="16" t="s">
        <v>86</v>
      </c>
      <c r="G2599" s="8" t="s">
        <v>103</v>
      </c>
      <c r="H2599" s="8" t="s">
        <v>125</v>
      </c>
      <c r="I2599" s="16" t="s">
        <v>296</v>
      </c>
      <c r="J2599" s="16">
        <v>17.090194946800001</v>
      </c>
      <c r="K2599" s="16">
        <v>-96.736720121999994</v>
      </c>
      <c r="L2599" s="16" t="str">
        <f>HYPERLINK("https://maps.google.com/?q=17.0901949468,-96.736720122", "🔗 Ver Mapa")</f>
        <v>🔗 Ver Mapa</v>
      </c>
    </row>
    <row r="2600" spans="1:12" ht="43.5" x14ac:dyDescent="0.35">
      <c r="A2600" s="6" t="s">
        <v>291</v>
      </c>
      <c r="B2600" s="6" t="s">
        <v>292</v>
      </c>
      <c r="C2600" s="6" t="s">
        <v>1362</v>
      </c>
      <c r="D2600" s="11" t="s">
        <v>64</v>
      </c>
      <c r="E2600" s="17" t="s">
        <v>75</v>
      </c>
      <c r="F2600" s="17" t="s">
        <v>86</v>
      </c>
      <c r="G2600" s="11" t="s">
        <v>103</v>
      </c>
      <c r="H2600" s="11" t="s">
        <v>125</v>
      </c>
      <c r="I2600" s="17" t="s">
        <v>296</v>
      </c>
      <c r="J2600" s="17">
        <v>17.090224839552999</v>
      </c>
      <c r="K2600" s="17">
        <v>-96.736738264074006</v>
      </c>
      <c r="L2600" s="17" t="str">
        <f>HYPERLINK("https://maps.google.com/?q=17.090224839553,-96.736738264074", "🔗 Ver Mapa")</f>
        <v>🔗 Ver Mapa</v>
      </c>
    </row>
    <row r="2601" spans="1:12" ht="43.5" x14ac:dyDescent="0.35">
      <c r="A2601" s="5" t="s">
        <v>291</v>
      </c>
      <c r="B2601" s="5" t="s">
        <v>292</v>
      </c>
      <c r="C2601" s="5" t="s">
        <v>1362</v>
      </c>
      <c r="D2601" s="8" t="s">
        <v>64</v>
      </c>
      <c r="E2601" s="16" t="s">
        <v>75</v>
      </c>
      <c r="F2601" s="16" t="s">
        <v>86</v>
      </c>
      <c r="G2601" s="8" t="s">
        <v>103</v>
      </c>
      <c r="H2601" s="8" t="s">
        <v>125</v>
      </c>
      <c r="I2601" s="16" t="s">
        <v>296</v>
      </c>
      <c r="J2601" s="16">
        <v>17.090477444807998</v>
      </c>
      <c r="K2601" s="16">
        <v>-96.736610843635006</v>
      </c>
      <c r="L2601" s="16" t="str">
        <f>HYPERLINK("https://maps.google.com/?q=17.090477444808,-96.736610843635", "🔗 Ver Mapa")</f>
        <v>🔗 Ver Mapa</v>
      </c>
    </row>
    <row r="2602" spans="1:12" ht="43.5" x14ac:dyDescent="0.35">
      <c r="A2602" s="6" t="s">
        <v>291</v>
      </c>
      <c r="B2602" s="6" t="s">
        <v>292</v>
      </c>
      <c r="C2602" s="6" t="s">
        <v>1362</v>
      </c>
      <c r="D2602" s="11" t="s">
        <v>64</v>
      </c>
      <c r="E2602" s="17" t="s">
        <v>75</v>
      </c>
      <c r="F2602" s="17" t="s">
        <v>86</v>
      </c>
      <c r="G2602" s="11" t="s">
        <v>103</v>
      </c>
      <c r="H2602" s="11" t="s">
        <v>125</v>
      </c>
      <c r="I2602" s="17" t="s">
        <v>296</v>
      </c>
      <c r="J2602" s="17">
        <v>17.090649974200002</v>
      </c>
      <c r="K2602" s="17">
        <v>-96.736486838999994</v>
      </c>
      <c r="L2602" s="17" t="str">
        <f>HYPERLINK("https://maps.google.com/?q=17.0906499742,-96.736486839", "🔗 Ver Mapa")</f>
        <v>🔗 Ver Mapa</v>
      </c>
    </row>
    <row r="2603" spans="1:12" ht="43.5" x14ac:dyDescent="0.35">
      <c r="A2603" s="5" t="s">
        <v>291</v>
      </c>
      <c r="B2603" s="5" t="s">
        <v>292</v>
      </c>
      <c r="C2603" s="5" t="s">
        <v>1362</v>
      </c>
      <c r="D2603" s="8" t="s">
        <v>64</v>
      </c>
      <c r="E2603" s="16" t="s">
        <v>75</v>
      </c>
      <c r="F2603" s="16" t="s">
        <v>86</v>
      </c>
      <c r="G2603" s="8" t="s">
        <v>103</v>
      </c>
      <c r="H2603" s="8" t="s">
        <v>125</v>
      </c>
      <c r="I2603" s="16" t="s">
        <v>296</v>
      </c>
      <c r="J2603" s="16">
        <v>17.090785630329002</v>
      </c>
      <c r="K2603" s="16">
        <v>-96.736475236150994</v>
      </c>
      <c r="L2603" s="16" t="str">
        <f>HYPERLINK("https://maps.google.com/?q=17.090785630329,-96.736475236151", "🔗 Ver Mapa")</f>
        <v>🔗 Ver Mapa</v>
      </c>
    </row>
    <row r="2604" spans="1:12" ht="43.5" x14ac:dyDescent="0.35">
      <c r="A2604" s="6" t="s">
        <v>291</v>
      </c>
      <c r="B2604" s="6" t="s">
        <v>292</v>
      </c>
      <c r="C2604" s="6" t="s">
        <v>1362</v>
      </c>
      <c r="D2604" s="11" t="s">
        <v>64</v>
      </c>
      <c r="E2604" s="17" t="s">
        <v>75</v>
      </c>
      <c r="F2604" s="17" t="s">
        <v>86</v>
      </c>
      <c r="G2604" s="11" t="s">
        <v>103</v>
      </c>
      <c r="H2604" s="11" t="s">
        <v>125</v>
      </c>
      <c r="I2604" s="17" t="s">
        <v>296</v>
      </c>
      <c r="J2604" s="17">
        <v>17.0907913769</v>
      </c>
      <c r="K2604" s="17">
        <v>-96.736441320599994</v>
      </c>
      <c r="L2604" s="17" t="str">
        <f>HYPERLINK("https://maps.google.com/?q=17.0907913769,-96.7364413206", "🔗 Ver Mapa")</f>
        <v>🔗 Ver Mapa</v>
      </c>
    </row>
    <row r="2605" spans="1:12" ht="43.5" x14ac:dyDescent="0.35">
      <c r="A2605" s="5" t="s">
        <v>291</v>
      </c>
      <c r="B2605" s="5" t="s">
        <v>292</v>
      </c>
      <c r="C2605" s="5" t="s">
        <v>1362</v>
      </c>
      <c r="D2605" s="8" t="s">
        <v>64</v>
      </c>
      <c r="E2605" s="16" t="s">
        <v>75</v>
      </c>
      <c r="F2605" s="16" t="s">
        <v>86</v>
      </c>
      <c r="G2605" s="8" t="s">
        <v>103</v>
      </c>
      <c r="H2605" s="8" t="s">
        <v>125</v>
      </c>
      <c r="I2605" s="16" t="s">
        <v>296</v>
      </c>
      <c r="J2605" s="16">
        <v>17.090961477135998</v>
      </c>
      <c r="K2605" s="16">
        <v>-96.736476184455</v>
      </c>
      <c r="L2605" s="16" t="str">
        <f>HYPERLINK("https://maps.google.com/?q=17.090961477136,-96.736476184455", "🔗 Ver Mapa")</f>
        <v>🔗 Ver Mapa</v>
      </c>
    </row>
    <row r="2606" spans="1:12" ht="43.5" x14ac:dyDescent="0.35">
      <c r="A2606" s="6" t="s">
        <v>291</v>
      </c>
      <c r="B2606" s="6" t="s">
        <v>292</v>
      </c>
      <c r="C2606" s="6" t="s">
        <v>1362</v>
      </c>
      <c r="D2606" s="11" t="s">
        <v>64</v>
      </c>
      <c r="E2606" s="17" t="s">
        <v>75</v>
      </c>
      <c r="F2606" s="17" t="s">
        <v>86</v>
      </c>
      <c r="G2606" s="11" t="s">
        <v>103</v>
      </c>
      <c r="H2606" s="11" t="s">
        <v>125</v>
      </c>
      <c r="I2606" s="17" t="s">
        <v>296</v>
      </c>
      <c r="J2606" s="17">
        <v>17.090961785099999</v>
      </c>
      <c r="K2606" s="17">
        <v>-96.736441320669996</v>
      </c>
      <c r="L2606" s="17" t="str">
        <f>HYPERLINK("https://maps.google.com/?q=17.0909617851,-96.73644132067", "🔗 Ver Mapa")</f>
        <v>🔗 Ver Mapa</v>
      </c>
    </row>
    <row r="2607" spans="1:12" ht="43.5" x14ac:dyDescent="0.35">
      <c r="A2607" s="5" t="s">
        <v>291</v>
      </c>
      <c r="B2607" s="5" t="s">
        <v>292</v>
      </c>
      <c r="C2607" s="5" t="s">
        <v>1362</v>
      </c>
      <c r="D2607" s="8" t="s">
        <v>64</v>
      </c>
      <c r="E2607" s="16" t="s">
        <v>75</v>
      </c>
      <c r="F2607" s="16" t="s">
        <v>86</v>
      </c>
      <c r="G2607" s="8" t="s">
        <v>103</v>
      </c>
      <c r="H2607" s="8" t="s">
        <v>125</v>
      </c>
      <c r="I2607" s="16" t="s">
        <v>296</v>
      </c>
      <c r="J2607" s="16">
        <v>17.091081023808002</v>
      </c>
      <c r="K2607" s="16">
        <v>-96.736508045559006</v>
      </c>
      <c r="L2607" s="16" t="str">
        <f>HYPERLINK("https://maps.google.com/?q=17.091081023808,-96.736508045559", "🔗 Ver Mapa")</f>
        <v>🔗 Ver Mapa</v>
      </c>
    </row>
    <row r="2608" spans="1:12" ht="43.5" x14ac:dyDescent="0.35">
      <c r="A2608" s="6" t="s">
        <v>291</v>
      </c>
      <c r="B2608" s="6" t="s">
        <v>292</v>
      </c>
      <c r="C2608" s="6" t="s">
        <v>1362</v>
      </c>
      <c r="D2608" s="11" t="s">
        <v>64</v>
      </c>
      <c r="E2608" s="17" t="s">
        <v>75</v>
      </c>
      <c r="F2608" s="17" t="s">
        <v>86</v>
      </c>
      <c r="G2608" s="11" t="s">
        <v>103</v>
      </c>
      <c r="H2608" s="11" t="s">
        <v>125</v>
      </c>
      <c r="I2608" s="17" t="s">
        <v>296</v>
      </c>
      <c r="J2608" s="17">
        <v>17.091143070000001</v>
      </c>
      <c r="K2608" s="17">
        <v>-96.736509589999997</v>
      </c>
      <c r="L2608" s="17" t="str">
        <f>HYPERLINK("https://maps.google.com/?q=17.09114307,-96.73650959", "🔗 Ver Mapa")</f>
        <v>🔗 Ver Mapa</v>
      </c>
    </row>
    <row r="2609" spans="1:12" ht="43.5" x14ac:dyDescent="0.35">
      <c r="A2609" s="5" t="s">
        <v>291</v>
      </c>
      <c r="B2609" s="5" t="s">
        <v>292</v>
      </c>
      <c r="C2609" s="5" t="s">
        <v>1362</v>
      </c>
      <c r="D2609" s="8" t="s">
        <v>64</v>
      </c>
      <c r="E2609" s="16" t="s">
        <v>75</v>
      </c>
      <c r="F2609" s="16" t="s">
        <v>86</v>
      </c>
      <c r="G2609" s="8" t="s">
        <v>103</v>
      </c>
      <c r="H2609" s="8" t="s">
        <v>125</v>
      </c>
      <c r="I2609" s="16" t="s">
        <v>296</v>
      </c>
      <c r="J2609" s="16">
        <v>17.09120280234</v>
      </c>
      <c r="K2609" s="16">
        <v>-96.736606616741</v>
      </c>
      <c r="L2609" s="16" t="str">
        <f>HYPERLINK("https://maps.google.com/?q=17.09120280234,-96.736606616741", "🔗 Ver Mapa")</f>
        <v>🔗 Ver Mapa</v>
      </c>
    </row>
    <row r="2610" spans="1:12" ht="43.5" x14ac:dyDescent="0.35">
      <c r="A2610" s="6" t="s">
        <v>291</v>
      </c>
      <c r="B2610" s="6" t="s">
        <v>292</v>
      </c>
      <c r="C2610" s="6" t="s">
        <v>1362</v>
      </c>
      <c r="D2610" s="11" t="s">
        <v>64</v>
      </c>
      <c r="E2610" s="17" t="s">
        <v>75</v>
      </c>
      <c r="F2610" s="17" t="s">
        <v>86</v>
      </c>
      <c r="G2610" s="11" t="s">
        <v>103</v>
      </c>
      <c r="H2610" s="11" t="s">
        <v>125</v>
      </c>
      <c r="I2610" s="17" t="s">
        <v>296</v>
      </c>
      <c r="J2610" s="17">
        <v>17.091309851999998</v>
      </c>
      <c r="K2610" s="17">
        <v>-96.736684080000003</v>
      </c>
      <c r="L2610" s="17" t="str">
        <f>HYPERLINK("https://maps.google.com/?q=17.091309852,-96.73668408", "🔗 Ver Mapa")</f>
        <v>🔗 Ver Mapa</v>
      </c>
    </row>
    <row r="2611" spans="1:12" ht="43.5" x14ac:dyDescent="0.35">
      <c r="A2611" s="5" t="s">
        <v>291</v>
      </c>
      <c r="B2611" s="5" t="s">
        <v>292</v>
      </c>
      <c r="C2611" s="5" t="s">
        <v>1362</v>
      </c>
      <c r="D2611" s="8" t="s">
        <v>64</v>
      </c>
      <c r="E2611" s="16" t="s">
        <v>75</v>
      </c>
      <c r="F2611" s="16" t="s">
        <v>86</v>
      </c>
      <c r="G2611" s="8" t="s">
        <v>103</v>
      </c>
      <c r="H2611" s="8" t="s">
        <v>125</v>
      </c>
      <c r="I2611" s="16" t="s">
        <v>296</v>
      </c>
      <c r="J2611" s="16">
        <v>17.091309852567999</v>
      </c>
      <c r="K2611" s="16">
        <v>-96.73668408652</v>
      </c>
      <c r="L2611" s="16" t="str">
        <f>HYPERLINK("https://maps.google.com/?q=17.091309852568,-96.73668408652", "🔗 Ver Mapa")</f>
        <v>🔗 Ver Mapa</v>
      </c>
    </row>
    <row r="2612" spans="1:12" ht="43.5" x14ac:dyDescent="0.35">
      <c r="A2612" s="6" t="s">
        <v>291</v>
      </c>
      <c r="B2612" s="6" t="s">
        <v>292</v>
      </c>
      <c r="C2612" s="6" t="s">
        <v>1362</v>
      </c>
      <c r="D2612" s="11" t="s">
        <v>64</v>
      </c>
      <c r="E2612" s="17" t="s">
        <v>75</v>
      </c>
      <c r="F2612" s="17" t="s">
        <v>86</v>
      </c>
      <c r="G2612" s="11" t="s">
        <v>103</v>
      </c>
      <c r="H2612" s="11" t="s">
        <v>125</v>
      </c>
      <c r="I2612" s="17" t="s">
        <v>296</v>
      </c>
      <c r="J2612" s="17">
        <v>17.091369506311</v>
      </c>
      <c r="K2612" s="17">
        <v>-96.736616374703999</v>
      </c>
      <c r="L2612" s="17" t="str">
        <f>HYPERLINK("https://maps.google.com/?q=17.091369506311,-96.736616374704", "🔗 Ver Mapa")</f>
        <v>🔗 Ver Mapa</v>
      </c>
    </row>
    <row r="2613" spans="1:12" ht="43.5" x14ac:dyDescent="0.35">
      <c r="A2613" s="5" t="s">
        <v>291</v>
      </c>
      <c r="B2613" s="5" t="s">
        <v>292</v>
      </c>
      <c r="C2613" s="5" t="s">
        <v>1362</v>
      </c>
      <c r="D2613" s="8" t="s">
        <v>64</v>
      </c>
      <c r="E2613" s="16" t="s">
        <v>75</v>
      </c>
      <c r="F2613" s="16" t="s">
        <v>86</v>
      </c>
      <c r="G2613" s="8" t="s">
        <v>103</v>
      </c>
      <c r="H2613" s="8" t="s">
        <v>125</v>
      </c>
      <c r="I2613" s="16" t="s">
        <v>296</v>
      </c>
      <c r="J2613" s="16">
        <v>17.091407573017001</v>
      </c>
      <c r="K2613" s="16">
        <v>-96.736947576679995</v>
      </c>
      <c r="L2613" s="16" t="str">
        <f>HYPERLINK("https://maps.google.com/?q=17.091407573017,-96.73694757668", "🔗 Ver Mapa")</f>
        <v>🔗 Ver Mapa</v>
      </c>
    </row>
    <row r="2614" spans="1:12" ht="43.5" x14ac:dyDescent="0.35">
      <c r="A2614" s="6" t="s">
        <v>291</v>
      </c>
      <c r="B2614" s="6" t="s">
        <v>292</v>
      </c>
      <c r="C2614" s="6" t="s">
        <v>1362</v>
      </c>
      <c r="D2614" s="11" t="s">
        <v>64</v>
      </c>
      <c r="E2614" s="17" t="s">
        <v>75</v>
      </c>
      <c r="F2614" s="17" t="s">
        <v>86</v>
      </c>
      <c r="G2614" s="11" t="s">
        <v>103</v>
      </c>
      <c r="H2614" s="11" t="s">
        <v>125</v>
      </c>
      <c r="I2614" s="17" t="s">
        <v>296</v>
      </c>
      <c r="J2614" s="17">
        <v>17.091462336999999</v>
      </c>
      <c r="K2614" s="17">
        <v>-96.736976780000006</v>
      </c>
      <c r="L2614" s="17" t="str">
        <f>HYPERLINK("https://maps.google.com/?q=17.091462337,-96.73697678", "🔗 Ver Mapa")</f>
        <v>🔗 Ver Mapa</v>
      </c>
    </row>
    <row r="2615" spans="1:12" ht="43.5" x14ac:dyDescent="0.35">
      <c r="A2615" s="5" t="s">
        <v>291</v>
      </c>
      <c r="B2615" s="5" t="s">
        <v>292</v>
      </c>
      <c r="C2615" s="5" t="s">
        <v>1362</v>
      </c>
      <c r="D2615" s="8" t="s">
        <v>64</v>
      </c>
      <c r="E2615" s="16" t="s">
        <v>75</v>
      </c>
      <c r="F2615" s="16" t="s">
        <v>86</v>
      </c>
      <c r="G2615" s="8" t="s">
        <v>103</v>
      </c>
      <c r="H2615" s="8" t="s">
        <v>125</v>
      </c>
      <c r="I2615" s="16" t="s">
        <v>296</v>
      </c>
      <c r="J2615" s="16">
        <v>17.091502431925999</v>
      </c>
      <c r="K2615" s="16">
        <v>-96.737403552212001</v>
      </c>
      <c r="L2615" s="16" t="str">
        <f>HYPERLINK("https://maps.google.com/?q=17.091502431926,-96.737403552212", "🔗 Ver Mapa")</f>
        <v>🔗 Ver Mapa</v>
      </c>
    </row>
    <row r="2616" spans="1:12" ht="43.5" x14ac:dyDescent="0.35">
      <c r="A2616" s="6" t="s">
        <v>291</v>
      </c>
      <c r="B2616" s="6" t="s">
        <v>292</v>
      </c>
      <c r="C2616" s="6" t="s">
        <v>1362</v>
      </c>
      <c r="D2616" s="11" t="s">
        <v>64</v>
      </c>
      <c r="E2616" s="17" t="s">
        <v>75</v>
      </c>
      <c r="F2616" s="17" t="s">
        <v>86</v>
      </c>
      <c r="G2616" s="11" t="s">
        <v>103</v>
      </c>
      <c r="H2616" s="11" t="s">
        <v>125</v>
      </c>
      <c r="I2616" s="17" t="s">
        <v>296</v>
      </c>
      <c r="J2616" s="17">
        <v>17.091552979900001</v>
      </c>
      <c r="K2616" s="17">
        <v>-96.737424383999993</v>
      </c>
      <c r="L2616" s="17" t="str">
        <f>HYPERLINK("https://maps.google.com/?q=17.0915529799,-96.737424384", "🔗 Ver Mapa")</f>
        <v>🔗 Ver Mapa</v>
      </c>
    </row>
    <row r="2617" spans="1:12" ht="43.5" x14ac:dyDescent="0.35">
      <c r="A2617" s="5" t="s">
        <v>291</v>
      </c>
      <c r="B2617" s="5" t="s">
        <v>292</v>
      </c>
      <c r="C2617" s="5" t="s">
        <v>1362</v>
      </c>
      <c r="D2617" s="8" t="s">
        <v>64</v>
      </c>
      <c r="E2617" s="16" t="s">
        <v>75</v>
      </c>
      <c r="F2617" s="16" t="s">
        <v>86</v>
      </c>
      <c r="G2617" s="8" t="s">
        <v>103</v>
      </c>
      <c r="H2617" s="8" t="s">
        <v>125</v>
      </c>
      <c r="I2617" s="16" t="s">
        <v>296</v>
      </c>
      <c r="J2617" s="16">
        <v>17.091662666455999</v>
      </c>
      <c r="K2617" s="16">
        <v>-96.737890373148005</v>
      </c>
      <c r="L2617" s="16" t="str">
        <f>HYPERLINK("https://maps.google.com/?q=17.091662666456,-96.737890373148", "🔗 Ver Mapa")</f>
        <v>🔗 Ver Mapa</v>
      </c>
    </row>
    <row r="2618" spans="1:12" ht="43.5" x14ac:dyDescent="0.35">
      <c r="A2618" s="6" t="s">
        <v>291</v>
      </c>
      <c r="B2618" s="6" t="s">
        <v>292</v>
      </c>
      <c r="C2618" s="6" t="s">
        <v>1362</v>
      </c>
      <c r="D2618" s="11" t="s">
        <v>64</v>
      </c>
      <c r="E2618" s="17" t="s">
        <v>75</v>
      </c>
      <c r="F2618" s="17" t="s">
        <v>86</v>
      </c>
      <c r="G2618" s="11" t="s">
        <v>103</v>
      </c>
      <c r="H2618" s="11" t="s">
        <v>125</v>
      </c>
      <c r="I2618" s="17" t="s">
        <v>296</v>
      </c>
      <c r="J2618" s="17">
        <v>17.091725820400001</v>
      </c>
      <c r="K2618" s="17">
        <v>-96.737917225000004</v>
      </c>
      <c r="L2618" s="17" t="str">
        <f>HYPERLINK("https://maps.google.com/?q=17.0917258204,-96.737917225", "🔗 Ver Mapa")</f>
        <v>🔗 Ver Mapa</v>
      </c>
    </row>
    <row r="2619" spans="1:12" ht="43.5" x14ac:dyDescent="0.35">
      <c r="A2619" s="5" t="s">
        <v>291</v>
      </c>
      <c r="B2619" s="5" t="s">
        <v>292</v>
      </c>
      <c r="C2619" s="5" t="s">
        <v>1362</v>
      </c>
      <c r="D2619" s="8" t="s">
        <v>64</v>
      </c>
      <c r="E2619" s="16" t="s">
        <v>75</v>
      </c>
      <c r="F2619" s="16" t="s">
        <v>86</v>
      </c>
      <c r="G2619" s="8" t="s">
        <v>103</v>
      </c>
      <c r="H2619" s="8" t="s">
        <v>125</v>
      </c>
      <c r="I2619" s="16" t="s">
        <v>296</v>
      </c>
      <c r="J2619" s="16">
        <v>17.091863920830001</v>
      </c>
      <c r="K2619" s="16">
        <v>-96.738291363396002</v>
      </c>
      <c r="L2619" s="16" t="str">
        <f>HYPERLINK("https://maps.google.com/?q=17.09186392083,-96.738291363396", "🔗 Ver Mapa")</f>
        <v>🔗 Ver Mapa</v>
      </c>
    </row>
    <row r="2620" spans="1:12" ht="43.5" x14ac:dyDescent="0.35">
      <c r="A2620" s="6" t="s">
        <v>291</v>
      </c>
      <c r="B2620" s="6" t="s">
        <v>292</v>
      </c>
      <c r="C2620" s="6" t="s">
        <v>1362</v>
      </c>
      <c r="D2620" s="11" t="s">
        <v>64</v>
      </c>
      <c r="E2620" s="17" t="s">
        <v>75</v>
      </c>
      <c r="F2620" s="17" t="s">
        <v>86</v>
      </c>
      <c r="G2620" s="11" t="s">
        <v>103</v>
      </c>
      <c r="H2620" s="11" t="s">
        <v>125</v>
      </c>
      <c r="I2620" s="17" t="s">
        <v>296</v>
      </c>
      <c r="J2620" s="17">
        <v>17.091929296410001</v>
      </c>
      <c r="K2620" s="17">
        <v>-96.738369147458002</v>
      </c>
      <c r="L2620" s="17" t="str">
        <f>HYPERLINK("https://maps.google.com/?q=17.09192929641,-96.738369147458", "🔗 Ver Mapa")</f>
        <v>🔗 Ver Mapa</v>
      </c>
    </row>
    <row r="2621" spans="1:12" ht="43.5" x14ac:dyDescent="0.35">
      <c r="A2621" s="5" t="s">
        <v>291</v>
      </c>
      <c r="B2621" s="5" t="s">
        <v>292</v>
      </c>
      <c r="C2621" s="5" t="s">
        <v>1362</v>
      </c>
      <c r="D2621" s="8" t="s">
        <v>64</v>
      </c>
      <c r="E2621" s="16" t="s">
        <v>75</v>
      </c>
      <c r="F2621" s="16" t="s">
        <v>86</v>
      </c>
      <c r="G2621" s="8" t="s">
        <v>103</v>
      </c>
      <c r="H2621" s="8" t="s">
        <v>125</v>
      </c>
      <c r="I2621" s="16" t="s">
        <v>296</v>
      </c>
      <c r="J2621" s="16">
        <v>17.091953994000001</v>
      </c>
      <c r="K2621" s="16">
        <v>-96.738327600000005</v>
      </c>
      <c r="L2621" s="16" t="str">
        <f>HYPERLINK("https://maps.google.com/?q=17.091953994,-96.7383276", "🔗 Ver Mapa")</f>
        <v>🔗 Ver Mapa</v>
      </c>
    </row>
    <row r="2622" spans="1:12" ht="43.5" x14ac:dyDescent="0.35">
      <c r="A2622" s="6" t="s">
        <v>291</v>
      </c>
      <c r="B2622" s="6" t="s">
        <v>292</v>
      </c>
      <c r="C2622" s="6" t="s">
        <v>1362</v>
      </c>
      <c r="D2622" s="11" t="s">
        <v>64</v>
      </c>
      <c r="E2622" s="17" t="s">
        <v>75</v>
      </c>
      <c r="F2622" s="17" t="s">
        <v>86</v>
      </c>
      <c r="G2622" s="11" t="s">
        <v>103</v>
      </c>
      <c r="H2622" s="11" t="s">
        <v>125</v>
      </c>
      <c r="I2622" s="17" t="s">
        <v>296</v>
      </c>
      <c r="J2622" s="17">
        <v>17.092199771594998</v>
      </c>
      <c r="K2622" s="17">
        <v>-96.738480459130997</v>
      </c>
      <c r="L2622" s="17" t="str">
        <f>HYPERLINK("https://maps.google.com/?q=17.092199771595,-96.738480459131", "🔗 Ver Mapa")</f>
        <v>🔗 Ver Mapa</v>
      </c>
    </row>
    <row r="2623" spans="1:12" ht="43.5" x14ac:dyDescent="0.35">
      <c r="A2623" s="5" t="s">
        <v>291</v>
      </c>
      <c r="B2623" s="5" t="s">
        <v>292</v>
      </c>
      <c r="C2623" s="5" t="s">
        <v>1362</v>
      </c>
      <c r="D2623" s="8" t="s">
        <v>64</v>
      </c>
      <c r="E2623" s="16" t="s">
        <v>75</v>
      </c>
      <c r="F2623" s="16" t="s">
        <v>86</v>
      </c>
      <c r="G2623" s="8" t="s">
        <v>103</v>
      </c>
      <c r="H2623" s="8" t="s">
        <v>125</v>
      </c>
      <c r="I2623" s="16" t="s">
        <v>296</v>
      </c>
      <c r="J2623" s="16">
        <v>17.0924975</v>
      </c>
      <c r="K2623" s="16">
        <v>-96.738534133000002</v>
      </c>
      <c r="L2623" s="16" t="str">
        <f>HYPERLINK("https://maps.google.com/?q=17.0924975,-96.738534133", "🔗 Ver Mapa")</f>
        <v>🔗 Ver Mapa</v>
      </c>
    </row>
    <row r="2624" spans="1:12" ht="43.5" x14ac:dyDescent="0.35">
      <c r="A2624" s="6" t="s">
        <v>291</v>
      </c>
      <c r="B2624" s="6" t="s">
        <v>292</v>
      </c>
      <c r="C2624" s="6" t="s">
        <v>1362</v>
      </c>
      <c r="D2624" s="11" t="s">
        <v>64</v>
      </c>
      <c r="E2624" s="17" t="s">
        <v>75</v>
      </c>
      <c r="F2624" s="17" t="s">
        <v>86</v>
      </c>
      <c r="G2624" s="11" t="s">
        <v>103</v>
      </c>
      <c r="H2624" s="11" t="s">
        <v>125</v>
      </c>
      <c r="I2624" s="17" t="s">
        <v>296</v>
      </c>
      <c r="J2624" s="17">
        <v>17.092517891042998</v>
      </c>
      <c r="K2624" s="17">
        <v>-96.738598655933004</v>
      </c>
      <c r="L2624" s="17" t="str">
        <f>HYPERLINK("https://maps.google.com/?q=17.092517891043,-96.738598655933", "🔗 Ver Mapa")</f>
        <v>🔗 Ver Mapa</v>
      </c>
    </row>
    <row r="2625" spans="1:12" ht="43.5" x14ac:dyDescent="0.35">
      <c r="A2625" s="5" t="s">
        <v>291</v>
      </c>
      <c r="B2625" s="5" t="s">
        <v>292</v>
      </c>
      <c r="C2625" s="5" t="s">
        <v>1362</v>
      </c>
      <c r="D2625" s="8" t="s">
        <v>64</v>
      </c>
      <c r="E2625" s="16" t="s">
        <v>75</v>
      </c>
      <c r="F2625" s="16" t="s">
        <v>86</v>
      </c>
      <c r="G2625" s="8" t="s">
        <v>103</v>
      </c>
      <c r="H2625" s="8" t="s">
        <v>125</v>
      </c>
      <c r="I2625" s="16" t="s">
        <v>296</v>
      </c>
      <c r="J2625" s="16">
        <v>17.092710298</v>
      </c>
      <c r="K2625" s="16">
        <v>-96.738686999999999</v>
      </c>
      <c r="L2625" s="16" t="str">
        <f>HYPERLINK("https://maps.google.com/?q=17.092710298,-96.738687", "🔗 Ver Mapa")</f>
        <v>🔗 Ver Mapa</v>
      </c>
    </row>
    <row r="2626" spans="1:12" ht="43.5" x14ac:dyDescent="0.35">
      <c r="A2626" s="6" t="s">
        <v>291</v>
      </c>
      <c r="B2626" s="6" t="s">
        <v>292</v>
      </c>
      <c r="C2626" s="6" t="s">
        <v>1362</v>
      </c>
      <c r="D2626" s="11" t="s">
        <v>64</v>
      </c>
      <c r="E2626" s="17" t="s">
        <v>75</v>
      </c>
      <c r="F2626" s="17" t="s">
        <v>86</v>
      </c>
      <c r="G2626" s="11" t="s">
        <v>103</v>
      </c>
      <c r="H2626" s="11" t="s">
        <v>125</v>
      </c>
      <c r="I2626" s="17" t="s">
        <v>296</v>
      </c>
      <c r="J2626" s="17">
        <v>17.092792210980001</v>
      </c>
      <c r="K2626" s="17">
        <v>-96.738811891547996</v>
      </c>
      <c r="L2626" s="17" t="str">
        <f>HYPERLINK("https://maps.google.com/?q=17.09279221098,-96.738811891548", "🔗 Ver Mapa")</f>
        <v>🔗 Ver Mapa</v>
      </c>
    </row>
    <row r="2627" spans="1:12" ht="43.5" x14ac:dyDescent="0.35">
      <c r="A2627" s="5" t="s">
        <v>291</v>
      </c>
      <c r="B2627" s="5" t="s">
        <v>292</v>
      </c>
      <c r="C2627" s="5" t="s">
        <v>1362</v>
      </c>
      <c r="D2627" s="8" t="s">
        <v>64</v>
      </c>
      <c r="E2627" s="16" t="s">
        <v>75</v>
      </c>
      <c r="F2627" s="16" t="s">
        <v>86</v>
      </c>
      <c r="G2627" s="8" t="s">
        <v>103</v>
      </c>
      <c r="H2627" s="8" t="s">
        <v>125</v>
      </c>
      <c r="I2627" s="16" t="s">
        <v>296</v>
      </c>
      <c r="J2627" s="16">
        <v>17.0931794613</v>
      </c>
      <c r="K2627" s="16">
        <v>-96.73908935</v>
      </c>
      <c r="L2627" s="16" t="str">
        <f>HYPERLINK("https://maps.google.com/?q=17.0931794613,-96.73908935", "🔗 Ver Mapa")</f>
        <v>🔗 Ver Mapa</v>
      </c>
    </row>
    <row r="2628" spans="1:12" ht="43.5" x14ac:dyDescent="0.35">
      <c r="A2628" s="6" t="s">
        <v>291</v>
      </c>
      <c r="B2628" s="6" t="s">
        <v>292</v>
      </c>
      <c r="C2628" s="6" t="s">
        <v>1362</v>
      </c>
      <c r="D2628" s="11" t="s">
        <v>64</v>
      </c>
      <c r="E2628" s="17" t="s">
        <v>75</v>
      </c>
      <c r="F2628" s="17" t="s">
        <v>86</v>
      </c>
      <c r="G2628" s="11" t="s">
        <v>103</v>
      </c>
      <c r="H2628" s="11" t="s">
        <v>125</v>
      </c>
      <c r="I2628" s="17" t="s">
        <v>296</v>
      </c>
      <c r="J2628" s="17">
        <v>17.093265219641001</v>
      </c>
      <c r="K2628" s="17">
        <v>-96.739202152958995</v>
      </c>
      <c r="L2628" s="17" t="str">
        <f>HYPERLINK("https://maps.google.com/?q=17.093265219641,-96.739202152959", "🔗 Ver Mapa")</f>
        <v>🔗 Ver Mapa</v>
      </c>
    </row>
    <row r="2629" spans="1:12" ht="43.5" x14ac:dyDescent="0.35">
      <c r="A2629" s="5" t="s">
        <v>291</v>
      </c>
      <c r="B2629" s="5" t="s">
        <v>292</v>
      </c>
      <c r="C2629" s="5" t="s">
        <v>1362</v>
      </c>
      <c r="D2629" s="8" t="s">
        <v>64</v>
      </c>
      <c r="E2629" s="16" t="s">
        <v>75</v>
      </c>
      <c r="F2629" s="16" t="s">
        <v>86</v>
      </c>
      <c r="G2629" s="8" t="s">
        <v>103</v>
      </c>
      <c r="H2629" s="8" t="s">
        <v>125</v>
      </c>
      <c r="I2629" s="16" t="s">
        <v>296</v>
      </c>
      <c r="J2629" s="16">
        <v>17.09346403</v>
      </c>
      <c r="K2629" s="16">
        <v>-96.739255600000007</v>
      </c>
      <c r="L2629" s="16" t="str">
        <f>HYPERLINK("https://maps.google.com/?q=17.09346403,-96.7392556", "🔗 Ver Mapa")</f>
        <v>🔗 Ver Mapa</v>
      </c>
    </row>
    <row r="2630" spans="1:12" ht="43.5" x14ac:dyDescent="0.35">
      <c r="A2630" s="6" t="s">
        <v>291</v>
      </c>
      <c r="B2630" s="6" t="s">
        <v>292</v>
      </c>
      <c r="C2630" s="6" t="s">
        <v>1362</v>
      </c>
      <c r="D2630" s="11" t="s">
        <v>64</v>
      </c>
      <c r="E2630" s="17" t="s">
        <v>75</v>
      </c>
      <c r="F2630" s="17" t="s">
        <v>86</v>
      </c>
      <c r="G2630" s="11" t="s">
        <v>103</v>
      </c>
      <c r="H2630" s="11" t="s">
        <v>125</v>
      </c>
      <c r="I2630" s="17" t="s">
        <v>296</v>
      </c>
      <c r="J2630" s="17">
        <v>17.093492109547999</v>
      </c>
      <c r="K2630" s="17">
        <v>-96.739341627829006</v>
      </c>
      <c r="L2630" s="17" t="str">
        <f>HYPERLINK("https://maps.google.com/?q=17.093492109548,-96.739341627829", "🔗 Ver Mapa")</f>
        <v>🔗 Ver Mapa</v>
      </c>
    </row>
    <row r="2631" spans="1:12" ht="43.5" x14ac:dyDescent="0.35">
      <c r="A2631" s="5" t="s">
        <v>291</v>
      </c>
      <c r="B2631" s="5" t="s">
        <v>292</v>
      </c>
      <c r="C2631" s="5" t="s">
        <v>1362</v>
      </c>
      <c r="D2631" s="8" t="s">
        <v>64</v>
      </c>
      <c r="E2631" s="16" t="s">
        <v>75</v>
      </c>
      <c r="F2631" s="16" t="s">
        <v>86</v>
      </c>
      <c r="G2631" s="8" t="s">
        <v>103</v>
      </c>
      <c r="H2631" s="8" t="s">
        <v>125</v>
      </c>
      <c r="I2631" s="16" t="s">
        <v>296</v>
      </c>
      <c r="J2631" s="16">
        <v>17.093694769999999</v>
      </c>
      <c r="K2631" s="16">
        <v>-96.739360000000005</v>
      </c>
      <c r="L2631" s="16" t="str">
        <f>HYPERLINK("https://maps.google.com/?q=17.09369477,-96.73936", "🔗 Ver Mapa")</f>
        <v>🔗 Ver Mapa</v>
      </c>
    </row>
    <row r="2632" spans="1:12" ht="43.5" x14ac:dyDescent="0.35">
      <c r="A2632" s="6" t="s">
        <v>291</v>
      </c>
      <c r="B2632" s="6" t="s">
        <v>292</v>
      </c>
      <c r="C2632" s="6" t="s">
        <v>1362</v>
      </c>
      <c r="D2632" s="11" t="s">
        <v>64</v>
      </c>
      <c r="E2632" s="17" t="s">
        <v>75</v>
      </c>
      <c r="F2632" s="17" t="s">
        <v>86</v>
      </c>
      <c r="G2632" s="11" t="s">
        <v>103</v>
      </c>
      <c r="H2632" s="11" t="s">
        <v>125</v>
      </c>
      <c r="I2632" s="17" t="s">
        <v>296</v>
      </c>
      <c r="J2632" s="17">
        <v>17.093715280211999</v>
      </c>
      <c r="K2632" s="17">
        <v>-96.739405851276004</v>
      </c>
      <c r="L2632" s="17" t="str">
        <f>HYPERLINK("https://maps.google.com/?q=17.093715280212,-96.739405851276", "🔗 Ver Mapa")</f>
        <v>🔗 Ver Mapa</v>
      </c>
    </row>
    <row r="2633" spans="1:12" ht="43.5" x14ac:dyDescent="0.35">
      <c r="A2633" s="5" t="s">
        <v>7</v>
      </c>
      <c r="B2633" s="5" t="s">
        <v>20</v>
      </c>
      <c r="C2633" s="5" t="s">
        <v>1363</v>
      </c>
      <c r="D2633" s="8" t="s">
        <v>64</v>
      </c>
      <c r="E2633" s="16" t="s">
        <v>75</v>
      </c>
      <c r="F2633" s="16" t="s">
        <v>149</v>
      </c>
      <c r="G2633" s="8" t="s">
        <v>1364</v>
      </c>
      <c r="H2633" s="8" t="s">
        <v>1365</v>
      </c>
      <c r="I2633" s="16" t="s">
        <v>138</v>
      </c>
      <c r="J2633" s="16">
        <v>16.716111000000001</v>
      </c>
      <c r="K2633" s="16">
        <v>-96.662638999999999</v>
      </c>
      <c r="L2633" s="16" t="str">
        <f>HYPERLINK("https://maps.google.com/?q=16.716111,-96.662639", "🔗 Ver Mapa")</f>
        <v>🔗 Ver Mapa</v>
      </c>
    </row>
    <row r="2634" spans="1:12" ht="43.5" x14ac:dyDescent="0.35">
      <c r="A2634" s="6" t="s">
        <v>1</v>
      </c>
      <c r="B2634" s="6" t="s">
        <v>14</v>
      </c>
      <c r="C2634" s="6" t="s">
        <v>1366</v>
      </c>
      <c r="D2634" s="11" t="s">
        <v>61</v>
      </c>
      <c r="E2634" s="17" t="s">
        <v>74</v>
      </c>
      <c r="F2634" s="17" t="s">
        <v>89</v>
      </c>
      <c r="G2634" s="11" t="s">
        <v>655</v>
      </c>
      <c r="H2634" s="11" t="s">
        <v>1367</v>
      </c>
      <c r="I2634" s="17" t="s">
        <v>138</v>
      </c>
      <c r="J2634" s="17">
        <v>15.790572436052001</v>
      </c>
      <c r="K2634" s="17">
        <v>-96.581744030828006</v>
      </c>
      <c r="L2634" s="17" t="str">
        <f>HYPERLINK("https://maps.google.com/?q=15.790572436052,-96.581744030828", "🔗 Ver Mapa")</f>
        <v>🔗 Ver Mapa</v>
      </c>
    </row>
    <row r="2635" spans="1:12" ht="58" x14ac:dyDescent="0.35">
      <c r="A2635" s="5" t="s">
        <v>291</v>
      </c>
      <c r="B2635" s="5" t="s">
        <v>292</v>
      </c>
      <c r="C2635" s="5" t="s">
        <v>1368</v>
      </c>
      <c r="D2635" s="8" t="s">
        <v>294</v>
      </c>
      <c r="E2635" s="16" t="s">
        <v>75</v>
      </c>
      <c r="F2635" s="16" t="s">
        <v>86</v>
      </c>
      <c r="G2635" s="8" t="s">
        <v>557</v>
      </c>
      <c r="H2635" s="8" t="s">
        <v>558</v>
      </c>
      <c r="I2635" s="16" t="s">
        <v>296</v>
      </c>
      <c r="J2635" s="16">
        <v>17.059839199999999</v>
      </c>
      <c r="K2635" s="16">
        <v>-96.704596319999993</v>
      </c>
      <c r="L2635" s="16" t="str">
        <f>HYPERLINK("https://maps.google.com/?q=17.0598392,-96.70459632", "🔗 Ver Mapa")</f>
        <v>🔗 Ver Mapa</v>
      </c>
    </row>
    <row r="2636" spans="1:12" ht="58" x14ac:dyDescent="0.35">
      <c r="A2636" s="6" t="s">
        <v>291</v>
      </c>
      <c r="B2636" s="6" t="s">
        <v>292</v>
      </c>
      <c r="C2636" s="6" t="s">
        <v>1368</v>
      </c>
      <c r="D2636" s="11" t="s">
        <v>294</v>
      </c>
      <c r="E2636" s="17" t="s">
        <v>75</v>
      </c>
      <c r="F2636" s="17" t="s">
        <v>86</v>
      </c>
      <c r="G2636" s="11" t="s">
        <v>557</v>
      </c>
      <c r="H2636" s="11" t="s">
        <v>558</v>
      </c>
      <c r="I2636" s="17" t="s">
        <v>296</v>
      </c>
      <c r="J2636" s="17">
        <v>17.060326409999998</v>
      </c>
      <c r="K2636" s="17">
        <v>-96.704543400000006</v>
      </c>
      <c r="L2636" s="17" t="str">
        <f>HYPERLINK("https://maps.google.com/?q=17.06032641,-96.7045434", "🔗 Ver Mapa")</f>
        <v>🔗 Ver Mapa</v>
      </c>
    </row>
    <row r="2637" spans="1:12" ht="58" x14ac:dyDescent="0.35">
      <c r="A2637" s="5" t="s">
        <v>291</v>
      </c>
      <c r="B2637" s="5" t="s">
        <v>292</v>
      </c>
      <c r="C2637" s="5" t="s">
        <v>1368</v>
      </c>
      <c r="D2637" s="8" t="s">
        <v>294</v>
      </c>
      <c r="E2637" s="16" t="s">
        <v>75</v>
      </c>
      <c r="F2637" s="16" t="s">
        <v>86</v>
      </c>
      <c r="G2637" s="8" t="s">
        <v>557</v>
      </c>
      <c r="H2637" s="8" t="s">
        <v>558</v>
      </c>
      <c r="I2637" s="16" t="s">
        <v>296</v>
      </c>
      <c r="J2637" s="16">
        <v>17.060591760302</v>
      </c>
      <c r="K2637" s="16">
        <v>-96.704750022419006</v>
      </c>
      <c r="L2637" s="16" t="str">
        <f>HYPERLINK("https://maps.google.com/?q=17.060591760302,-96.704750022419", "🔗 Ver Mapa")</f>
        <v>🔗 Ver Mapa</v>
      </c>
    </row>
    <row r="2638" spans="1:12" ht="58" x14ac:dyDescent="0.35">
      <c r="A2638" s="6" t="s">
        <v>291</v>
      </c>
      <c r="B2638" s="6" t="s">
        <v>292</v>
      </c>
      <c r="C2638" s="6" t="s">
        <v>1368</v>
      </c>
      <c r="D2638" s="11" t="s">
        <v>294</v>
      </c>
      <c r="E2638" s="17" t="s">
        <v>75</v>
      </c>
      <c r="F2638" s="17" t="s">
        <v>86</v>
      </c>
      <c r="G2638" s="11" t="s">
        <v>557</v>
      </c>
      <c r="H2638" s="11" t="s">
        <v>558</v>
      </c>
      <c r="I2638" s="17" t="s">
        <v>296</v>
      </c>
      <c r="J2638" s="17">
        <v>17.060908250044001</v>
      </c>
      <c r="K2638" s="17">
        <v>-96.704722351409998</v>
      </c>
      <c r="L2638" s="17" t="str">
        <f>HYPERLINK("https://maps.google.com/?q=17.060908250044,-96.70472235141", "🔗 Ver Mapa")</f>
        <v>🔗 Ver Mapa</v>
      </c>
    </row>
    <row r="2639" spans="1:12" ht="58" x14ac:dyDescent="0.35">
      <c r="A2639" s="5" t="s">
        <v>1</v>
      </c>
      <c r="B2639" s="5" t="s">
        <v>14</v>
      </c>
      <c r="C2639" s="5" t="s">
        <v>1369</v>
      </c>
      <c r="D2639" s="8" t="s">
        <v>61</v>
      </c>
      <c r="E2639" s="16" t="s">
        <v>75</v>
      </c>
      <c r="F2639" s="16" t="s">
        <v>156</v>
      </c>
      <c r="G2639" s="8" t="s">
        <v>751</v>
      </c>
      <c r="H2639" s="8" t="s">
        <v>1370</v>
      </c>
      <c r="I2639" s="16" t="s">
        <v>138</v>
      </c>
      <c r="J2639" s="16">
        <v>16.570309000000002</v>
      </c>
      <c r="K2639" s="16">
        <v>-96.729945000000001</v>
      </c>
      <c r="L2639" s="16" t="str">
        <f>HYPERLINK("https://maps.google.com/?q=16.570309,-96.729945", "🔗 Ver Mapa")</f>
        <v>🔗 Ver Mapa</v>
      </c>
    </row>
    <row r="2640" spans="1:12" ht="72.5" x14ac:dyDescent="0.35">
      <c r="A2640" s="6" t="s">
        <v>225</v>
      </c>
      <c r="B2640" s="6" t="s">
        <v>226</v>
      </c>
      <c r="C2640" s="6" t="s">
        <v>1371</v>
      </c>
      <c r="D2640" s="11" t="s">
        <v>69</v>
      </c>
      <c r="E2640" s="17" t="s">
        <v>73</v>
      </c>
      <c r="F2640" s="17" t="s">
        <v>187</v>
      </c>
      <c r="G2640" s="11" t="s">
        <v>1372</v>
      </c>
      <c r="H2640" s="11" t="s">
        <v>1373</v>
      </c>
      <c r="I2640" s="17" t="s">
        <v>138</v>
      </c>
      <c r="J2640" s="17">
        <v>17.23068881068</v>
      </c>
      <c r="K2640" s="17">
        <v>-97.157821570604</v>
      </c>
      <c r="L2640" s="17" t="str">
        <f>HYPERLINK("https://maps.google.com/?q=17.23068881068,-97.157821570604", "🔗 Ver Mapa")</f>
        <v>🔗 Ver Mapa</v>
      </c>
    </row>
    <row r="2641" spans="1:12" ht="72.5" x14ac:dyDescent="0.35">
      <c r="A2641" s="5" t="s">
        <v>225</v>
      </c>
      <c r="B2641" s="5" t="s">
        <v>226</v>
      </c>
      <c r="C2641" s="5" t="s">
        <v>1371</v>
      </c>
      <c r="D2641" s="8" t="s">
        <v>69</v>
      </c>
      <c r="E2641" s="16" t="s">
        <v>73</v>
      </c>
      <c r="F2641" s="16" t="s">
        <v>187</v>
      </c>
      <c r="G2641" s="8" t="s">
        <v>1372</v>
      </c>
      <c r="H2641" s="8" t="s">
        <v>1373</v>
      </c>
      <c r="I2641" s="16" t="s">
        <v>138</v>
      </c>
      <c r="J2641" s="16">
        <v>17.284979</v>
      </c>
      <c r="K2641" s="16">
        <v>-97.174458999999999</v>
      </c>
      <c r="L2641" s="16" t="str">
        <f>HYPERLINK("https://maps.google.com/?q=17.284979,-97.174459", "🔗 Ver Mapa")</f>
        <v>🔗 Ver Mapa</v>
      </c>
    </row>
    <row r="2642" spans="1:12" ht="72.5" x14ac:dyDescent="0.35">
      <c r="A2642" s="6" t="s">
        <v>225</v>
      </c>
      <c r="B2642" s="6" t="s">
        <v>226</v>
      </c>
      <c r="C2642" s="6" t="s">
        <v>1371</v>
      </c>
      <c r="D2642" s="11" t="s">
        <v>69</v>
      </c>
      <c r="E2642" s="17" t="s">
        <v>73</v>
      </c>
      <c r="F2642" s="17" t="s">
        <v>187</v>
      </c>
      <c r="G2642" s="11" t="s">
        <v>1372</v>
      </c>
      <c r="H2642" s="11" t="s">
        <v>1373</v>
      </c>
      <c r="I2642" s="17" t="s">
        <v>138</v>
      </c>
      <c r="J2642" s="17">
        <v>17.336386000000001</v>
      </c>
      <c r="K2642" s="17">
        <v>-97.167237</v>
      </c>
      <c r="L2642" s="17" t="str">
        <f>HYPERLINK("https://maps.google.com/?q=17.336386,-97.167237", "🔗 Ver Mapa")</f>
        <v>🔗 Ver Mapa</v>
      </c>
    </row>
    <row r="2643" spans="1:12" ht="58" x14ac:dyDescent="0.35">
      <c r="A2643" s="5" t="s">
        <v>291</v>
      </c>
      <c r="B2643" s="5" t="s">
        <v>292</v>
      </c>
      <c r="C2643" s="5" t="s">
        <v>1374</v>
      </c>
      <c r="D2643" s="8" t="s">
        <v>294</v>
      </c>
      <c r="E2643" s="16" t="s">
        <v>75</v>
      </c>
      <c r="F2643" s="16" t="s">
        <v>86</v>
      </c>
      <c r="G2643" s="8" t="s">
        <v>112</v>
      </c>
      <c r="H2643" s="8" t="s">
        <v>295</v>
      </c>
      <c r="I2643" s="16" t="s">
        <v>296</v>
      </c>
      <c r="J2643" s="16">
        <v>17.042120525689</v>
      </c>
      <c r="K2643" s="16">
        <v>-96.721181799099995</v>
      </c>
      <c r="L2643" s="16" t="str">
        <f>HYPERLINK("https://maps.google.com/?q=17.042120525689,-96.7211817991", "🔗 Ver Mapa")</f>
        <v>🔗 Ver Mapa</v>
      </c>
    </row>
    <row r="2644" spans="1:12" ht="58" x14ac:dyDescent="0.35">
      <c r="A2644" s="6" t="s">
        <v>291</v>
      </c>
      <c r="B2644" s="6" t="s">
        <v>292</v>
      </c>
      <c r="C2644" s="6" t="s">
        <v>1374</v>
      </c>
      <c r="D2644" s="11" t="s">
        <v>294</v>
      </c>
      <c r="E2644" s="17" t="s">
        <v>75</v>
      </c>
      <c r="F2644" s="17" t="s">
        <v>86</v>
      </c>
      <c r="G2644" s="11" t="s">
        <v>112</v>
      </c>
      <c r="H2644" s="11" t="s">
        <v>295</v>
      </c>
      <c r="I2644" s="17" t="s">
        <v>296</v>
      </c>
      <c r="J2644" s="17">
        <v>17.042162197700002</v>
      </c>
      <c r="K2644" s="17">
        <v>-96.721185151900002</v>
      </c>
      <c r="L2644" s="17" t="str">
        <f>HYPERLINK("https://maps.google.com/?q=17.0421621977,-96.7211851519", "🔗 Ver Mapa")</f>
        <v>🔗 Ver Mapa</v>
      </c>
    </row>
    <row r="2645" spans="1:12" ht="58" x14ac:dyDescent="0.35">
      <c r="A2645" s="5" t="s">
        <v>291</v>
      </c>
      <c r="B2645" s="5" t="s">
        <v>292</v>
      </c>
      <c r="C2645" s="5" t="s">
        <v>1374</v>
      </c>
      <c r="D2645" s="8" t="s">
        <v>294</v>
      </c>
      <c r="E2645" s="16" t="s">
        <v>75</v>
      </c>
      <c r="F2645" s="16" t="s">
        <v>86</v>
      </c>
      <c r="G2645" s="8" t="s">
        <v>112</v>
      </c>
      <c r="H2645" s="8" t="s">
        <v>295</v>
      </c>
      <c r="I2645" s="16" t="s">
        <v>296</v>
      </c>
      <c r="J2645" s="16">
        <v>17.04238914974</v>
      </c>
      <c r="K2645" s="16">
        <v>-96.721149612640005</v>
      </c>
      <c r="L2645" s="16" t="str">
        <f>HYPERLINK("https://maps.google.com/?q=17.04238914974,-96.72114961264", "🔗 Ver Mapa")</f>
        <v>🔗 Ver Mapa</v>
      </c>
    </row>
    <row r="2646" spans="1:12" ht="58" x14ac:dyDescent="0.35">
      <c r="A2646" s="6" t="s">
        <v>291</v>
      </c>
      <c r="B2646" s="6" t="s">
        <v>292</v>
      </c>
      <c r="C2646" s="6" t="s">
        <v>1374</v>
      </c>
      <c r="D2646" s="11" t="s">
        <v>294</v>
      </c>
      <c r="E2646" s="17" t="s">
        <v>75</v>
      </c>
      <c r="F2646" s="17" t="s">
        <v>86</v>
      </c>
      <c r="G2646" s="11" t="s">
        <v>112</v>
      </c>
      <c r="H2646" s="11" t="s">
        <v>295</v>
      </c>
      <c r="I2646" s="17" t="s">
        <v>296</v>
      </c>
      <c r="J2646" s="17">
        <v>17.042538527600001</v>
      </c>
      <c r="K2646" s="17">
        <v>-96.721127484410005</v>
      </c>
      <c r="L2646" s="17" t="str">
        <f>HYPERLINK("https://maps.google.com/?q=17.0425385276,-96.72112748441", "🔗 Ver Mapa")</f>
        <v>🔗 Ver Mapa</v>
      </c>
    </row>
    <row r="2647" spans="1:12" ht="58" x14ac:dyDescent="0.35">
      <c r="A2647" s="5" t="s">
        <v>291</v>
      </c>
      <c r="B2647" s="5" t="s">
        <v>292</v>
      </c>
      <c r="C2647" s="5" t="s">
        <v>1374</v>
      </c>
      <c r="D2647" s="8" t="s">
        <v>294</v>
      </c>
      <c r="E2647" s="16" t="s">
        <v>75</v>
      </c>
      <c r="F2647" s="16" t="s">
        <v>86</v>
      </c>
      <c r="G2647" s="8" t="s">
        <v>112</v>
      </c>
      <c r="H2647" s="8" t="s">
        <v>295</v>
      </c>
      <c r="I2647" s="16" t="s">
        <v>296</v>
      </c>
      <c r="J2647" s="16">
        <v>17.042845617440001</v>
      </c>
      <c r="K2647" s="16">
        <v>-96.721066464100005</v>
      </c>
      <c r="L2647" s="16" t="str">
        <f>HYPERLINK("https://maps.google.com/?q=17.04284561744,-96.7210664641", "🔗 Ver Mapa")</f>
        <v>🔗 Ver Mapa</v>
      </c>
    </row>
    <row r="2648" spans="1:12" ht="58" x14ac:dyDescent="0.35">
      <c r="A2648" s="6" t="s">
        <v>291</v>
      </c>
      <c r="B2648" s="6" t="s">
        <v>292</v>
      </c>
      <c r="C2648" s="6" t="s">
        <v>1374</v>
      </c>
      <c r="D2648" s="11" t="s">
        <v>294</v>
      </c>
      <c r="E2648" s="17" t="s">
        <v>75</v>
      </c>
      <c r="F2648" s="17" t="s">
        <v>86</v>
      </c>
      <c r="G2648" s="11" t="s">
        <v>112</v>
      </c>
      <c r="H2648" s="11" t="s">
        <v>295</v>
      </c>
      <c r="I2648" s="17" t="s">
        <v>296</v>
      </c>
      <c r="J2648" s="17">
        <v>17.042845617440999</v>
      </c>
      <c r="K2648" s="17">
        <v>-96.721066464169994</v>
      </c>
      <c r="L2648" s="17" t="str">
        <f>HYPERLINK("https://maps.google.com/?q=17.042845617441,-96.72106646417", "🔗 Ver Mapa")</f>
        <v>🔗 Ver Mapa</v>
      </c>
    </row>
    <row r="2649" spans="1:12" ht="58" x14ac:dyDescent="0.35">
      <c r="A2649" s="5" t="s">
        <v>291</v>
      </c>
      <c r="B2649" s="5" t="s">
        <v>292</v>
      </c>
      <c r="C2649" s="5" t="s">
        <v>1374</v>
      </c>
      <c r="D2649" s="8" t="s">
        <v>294</v>
      </c>
      <c r="E2649" s="16" t="s">
        <v>75</v>
      </c>
      <c r="F2649" s="16" t="s">
        <v>86</v>
      </c>
      <c r="G2649" s="8" t="s">
        <v>112</v>
      </c>
      <c r="H2649" s="8" t="s">
        <v>295</v>
      </c>
      <c r="I2649" s="16" t="s">
        <v>296</v>
      </c>
      <c r="J2649" s="16">
        <v>17.043049250433</v>
      </c>
      <c r="K2649" s="16">
        <v>-96.721820930617</v>
      </c>
      <c r="L2649" s="16" t="str">
        <f>HYPERLINK("https://maps.google.com/?q=17.043049250433,-96.721820930617", "🔗 Ver Mapa")</f>
        <v>🔗 Ver Mapa</v>
      </c>
    </row>
    <row r="2650" spans="1:12" ht="58" x14ac:dyDescent="0.35">
      <c r="A2650" s="6" t="s">
        <v>291</v>
      </c>
      <c r="B2650" s="6" t="s">
        <v>292</v>
      </c>
      <c r="C2650" s="6" t="s">
        <v>1374</v>
      </c>
      <c r="D2650" s="11" t="s">
        <v>294</v>
      </c>
      <c r="E2650" s="17" t="s">
        <v>75</v>
      </c>
      <c r="F2650" s="17" t="s">
        <v>86</v>
      </c>
      <c r="G2650" s="11" t="s">
        <v>112</v>
      </c>
      <c r="H2650" s="11" t="s">
        <v>295</v>
      </c>
      <c r="I2650" s="17" t="s">
        <v>296</v>
      </c>
      <c r="J2650" s="17">
        <v>17.043202257348</v>
      </c>
      <c r="K2650" s="17">
        <v>-96.721023315075001</v>
      </c>
      <c r="L2650" s="17" t="str">
        <f>HYPERLINK("https://maps.google.com/?q=17.043202257348,-96.721023315075", "🔗 Ver Mapa")</f>
        <v>🔗 Ver Mapa</v>
      </c>
    </row>
    <row r="2651" spans="1:12" ht="43.5" x14ac:dyDescent="0.35">
      <c r="A2651" s="5" t="s">
        <v>1</v>
      </c>
      <c r="B2651" s="5" t="s">
        <v>14</v>
      </c>
      <c r="C2651" s="5" t="s">
        <v>1375</v>
      </c>
      <c r="D2651" s="8" t="s">
        <v>61</v>
      </c>
      <c r="E2651" s="16" t="s">
        <v>79</v>
      </c>
      <c r="F2651" s="16" t="s">
        <v>195</v>
      </c>
      <c r="G2651" s="8" t="s">
        <v>1376</v>
      </c>
      <c r="H2651" s="8" t="s">
        <v>1377</v>
      </c>
      <c r="I2651" s="16" t="s">
        <v>138</v>
      </c>
      <c r="J2651" s="16">
        <v>16.531231258259002</v>
      </c>
      <c r="K2651" s="16">
        <v>-96.48166084527</v>
      </c>
      <c r="L2651" s="16" t="str">
        <f>HYPERLINK("https://maps.google.com/?q=16.531231258259,-96.48166084527", "🔗 Ver Mapa")</f>
        <v>🔗 Ver Mapa</v>
      </c>
    </row>
    <row r="2652" spans="1:12" ht="43.5" x14ac:dyDescent="0.35">
      <c r="A2652" s="6" t="s">
        <v>291</v>
      </c>
      <c r="B2652" s="6" t="s">
        <v>292</v>
      </c>
      <c r="C2652" s="6" t="s">
        <v>1378</v>
      </c>
      <c r="D2652" s="11" t="s">
        <v>64</v>
      </c>
      <c r="E2652" s="17" t="s">
        <v>75</v>
      </c>
      <c r="F2652" s="17" t="s">
        <v>86</v>
      </c>
      <c r="G2652" s="11" t="s">
        <v>103</v>
      </c>
      <c r="H2652" s="11" t="s">
        <v>125</v>
      </c>
      <c r="I2652" s="17" t="s">
        <v>138</v>
      </c>
      <c r="J2652" s="17">
        <v>17.059291999999999</v>
      </c>
      <c r="K2652" s="17">
        <v>-96.740336999999997</v>
      </c>
      <c r="L2652" s="17" t="str">
        <f>HYPERLINK("https://maps.google.com/?q=17.059292,-96.740337", "🔗 Ver Mapa")</f>
        <v>🔗 Ver Mapa</v>
      </c>
    </row>
    <row r="2653" spans="1:12" ht="87" x14ac:dyDescent="0.35">
      <c r="A2653" s="5" t="s">
        <v>225</v>
      </c>
      <c r="B2653" s="5" t="s">
        <v>226</v>
      </c>
      <c r="C2653" s="5" t="s">
        <v>1379</v>
      </c>
      <c r="D2653" s="8" t="s">
        <v>69</v>
      </c>
      <c r="E2653" s="16" t="s">
        <v>79</v>
      </c>
      <c r="F2653" s="16" t="s">
        <v>91</v>
      </c>
      <c r="G2653" s="8" t="s">
        <v>1352</v>
      </c>
      <c r="H2653" s="8" t="s">
        <v>1380</v>
      </c>
      <c r="I2653" s="16" t="s">
        <v>138</v>
      </c>
      <c r="J2653" s="16">
        <v>16.684485408244999</v>
      </c>
      <c r="K2653" s="16">
        <v>-97.009181407409997</v>
      </c>
      <c r="L2653" s="16" t="str">
        <f>HYPERLINK("https://maps.google.com/?q=16.684485408245,-97.00918140741", "🔗 Ver Mapa")</f>
        <v>🔗 Ver Mapa</v>
      </c>
    </row>
    <row r="2654" spans="1:12" ht="87" x14ac:dyDescent="0.35">
      <c r="A2654" s="6" t="s">
        <v>225</v>
      </c>
      <c r="B2654" s="6" t="s">
        <v>226</v>
      </c>
      <c r="C2654" s="6" t="s">
        <v>1379</v>
      </c>
      <c r="D2654" s="11" t="s">
        <v>69</v>
      </c>
      <c r="E2654" s="17" t="s">
        <v>79</v>
      </c>
      <c r="F2654" s="17" t="s">
        <v>91</v>
      </c>
      <c r="G2654" s="11" t="s">
        <v>1352</v>
      </c>
      <c r="H2654" s="11" t="s">
        <v>1380</v>
      </c>
      <c r="I2654" s="17" t="s">
        <v>138</v>
      </c>
      <c r="J2654" s="17">
        <v>16.687771999999999</v>
      </c>
      <c r="K2654" s="17">
        <v>-97.008808999999999</v>
      </c>
      <c r="L2654" s="17" t="str">
        <f>HYPERLINK("https://maps.google.com/?q=16.687772,-97.008809", "🔗 Ver Mapa")</f>
        <v>🔗 Ver Mapa</v>
      </c>
    </row>
    <row r="2655" spans="1:12" ht="87" x14ac:dyDescent="0.35">
      <c r="A2655" s="5" t="s">
        <v>225</v>
      </c>
      <c r="B2655" s="5" t="s">
        <v>226</v>
      </c>
      <c r="C2655" s="5" t="s">
        <v>1379</v>
      </c>
      <c r="D2655" s="8" t="s">
        <v>69</v>
      </c>
      <c r="E2655" s="16" t="s">
        <v>79</v>
      </c>
      <c r="F2655" s="16" t="s">
        <v>91</v>
      </c>
      <c r="G2655" s="8" t="s">
        <v>1352</v>
      </c>
      <c r="H2655" s="8" t="s">
        <v>1380</v>
      </c>
      <c r="I2655" s="16" t="s">
        <v>138</v>
      </c>
      <c r="J2655" s="16">
        <v>16.690098177197999</v>
      </c>
      <c r="K2655" s="16">
        <v>-97.006047186507999</v>
      </c>
      <c r="L2655" s="16" t="str">
        <f>HYPERLINK("https://maps.google.com/?q=16.690098177198,-97.006047186508", "🔗 Ver Mapa")</f>
        <v>🔗 Ver Mapa</v>
      </c>
    </row>
    <row r="2656" spans="1:12" ht="43.5" x14ac:dyDescent="0.35">
      <c r="A2656" s="6" t="s">
        <v>3</v>
      </c>
      <c r="B2656" s="6" t="s">
        <v>16</v>
      </c>
      <c r="C2656" s="6" t="s">
        <v>1381</v>
      </c>
      <c r="D2656" s="11" t="s">
        <v>63</v>
      </c>
      <c r="E2656" s="17" t="s">
        <v>74</v>
      </c>
      <c r="F2656" s="17" t="s">
        <v>82</v>
      </c>
      <c r="G2656" s="11" t="s">
        <v>579</v>
      </c>
      <c r="H2656" s="11" t="s">
        <v>580</v>
      </c>
      <c r="I2656" s="17" t="s">
        <v>138</v>
      </c>
      <c r="J2656" s="17">
        <v>16.347194300000002</v>
      </c>
      <c r="K2656" s="17">
        <v>-98.048339159999998</v>
      </c>
      <c r="L2656" s="17" t="str">
        <f>HYPERLINK("https://maps.google.com/?q=16.3471943,-98.04833916", "🔗 Ver Mapa")</f>
        <v>🔗 Ver Mapa</v>
      </c>
    </row>
    <row r="2657" spans="1:12" ht="29" x14ac:dyDescent="0.35">
      <c r="A2657" s="5" t="s">
        <v>3</v>
      </c>
      <c r="B2657" s="5" t="s">
        <v>16</v>
      </c>
      <c r="C2657" s="5" t="s">
        <v>1382</v>
      </c>
      <c r="D2657" s="8" t="s">
        <v>63</v>
      </c>
      <c r="E2657" s="16" t="s">
        <v>74</v>
      </c>
      <c r="F2657" s="16" t="s">
        <v>89</v>
      </c>
      <c r="G2657" s="8" t="s">
        <v>108</v>
      </c>
      <c r="H2657" s="8" t="s">
        <v>130</v>
      </c>
      <c r="I2657" s="16" t="s">
        <v>138</v>
      </c>
      <c r="J2657" s="16">
        <v>15.734865360000001</v>
      </c>
      <c r="K2657" s="16">
        <v>-96.472656610000001</v>
      </c>
      <c r="L2657" s="16" t="str">
        <f>HYPERLINK("https://maps.google.com/?q=15.73486536,-96.47265661", "🔗 Ver Mapa")</f>
        <v>🔗 Ver Mapa</v>
      </c>
    </row>
    <row r="2658" spans="1:12" ht="72.5" x14ac:dyDescent="0.35">
      <c r="A2658" s="6" t="s">
        <v>225</v>
      </c>
      <c r="B2658" s="6" t="s">
        <v>226</v>
      </c>
      <c r="C2658" s="6" t="s">
        <v>1383</v>
      </c>
      <c r="D2658" s="11" t="s">
        <v>69</v>
      </c>
      <c r="E2658" s="17" t="s">
        <v>74</v>
      </c>
      <c r="F2658" s="17" t="s">
        <v>82</v>
      </c>
      <c r="G2658" s="11" t="s">
        <v>445</v>
      </c>
      <c r="H2658" s="11" t="s">
        <v>1384</v>
      </c>
      <c r="I2658" s="17" t="s">
        <v>138</v>
      </c>
      <c r="J2658" s="17">
        <v>16.462971</v>
      </c>
      <c r="K2658" s="17">
        <v>-97.997766999999996</v>
      </c>
      <c r="L2658" s="17" t="str">
        <f>HYPERLINK("https://maps.google.com/?q=16.462971,-97.997767", "🔗 Ver Mapa")</f>
        <v>🔗 Ver Mapa</v>
      </c>
    </row>
    <row r="2659" spans="1:12" ht="72.5" x14ac:dyDescent="0.35">
      <c r="A2659" s="5" t="s">
        <v>225</v>
      </c>
      <c r="B2659" s="5" t="s">
        <v>226</v>
      </c>
      <c r="C2659" s="5" t="s">
        <v>1383</v>
      </c>
      <c r="D2659" s="8" t="s">
        <v>69</v>
      </c>
      <c r="E2659" s="16" t="s">
        <v>74</v>
      </c>
      <c r="F2659" s="16" t="s">
        <v>82</v>
      </c>
      <c r="G2659" s="8" t="s">
        <v>445</v>
      </c>
      <c r="H2659" s="8" t="s">
        <v>1384</v>
      </c>
      <c r="I2659" s="16" t="s">
        <v>138</v>
      </c>
      <c r="J2659" s="16">
        <v>16.469818</v>
      </c>
      <c r="K2659" s="16">
        <v>-98.002289000000005</v>
      </c>
      <c r="L2659" s="16" t="str">
        <f>HYPERLINK("https://maps.google.com/?q=16.469818,-98.002289", "🔗 Ver Mapa")</f>
        <v>🔗 Ver Mapa</v>
      </c>
    </row>
    <row r="2660" spans="1:12" ht="72.5" x14ac:dyDescent="0.35">
      <c r="A2660" s="6" t="s">
        <v>225</v>
      </c>
      <c r="B2660" s="6" t="s">
        <v>226</v>
      </c>
      <c r="C2660" s="6" t="s">
        <v>1383</v>
      </c>
      <c r="D2660" s="11" t="s">
        <v>69</v>
      </c>
      <c r="E2660" s="17" t="s">
        <v>74</v>
      </c>
      <c r="F2660" s="17" t="s">
        <v>82</v>
      </c>
      <c r="G2660" s="11" t="s">
        <v>445</v>
      </c>
      <c r="H2660" s="11" t="s">
        <v>1384</v>
      </c>
      <c r="I2660" s="17" t="s">
        <v>138</v>
      </c>
      <c r="J2660" s="17">
        <v>16.476106000000001</v>
      </c>
      <c r="K2660" s="17">
        <v>-98.007294000000002</v>
      </c>
      <c r="L2660" s="17" t="str">
        <f>HYPERLINK("https://maps.google.com/?q=16.476106,-98.007294", "🔗 Ver Mapa")</f>
        <v>🔗 Ver Mapa</v>
      </c>
    </row>
    <row r="2661" spans="1:12" ht="72.5" x14ac:dyDescent="0.35">
      <c r="A2661" s="5" t="s">
        <v>225</v>
      </c>
      <c r="B2661" s="5" t="s">
        <v>226</v>
      </c>
      <c r="C2661" s="5" t="s">
        <v>1385</v>
      </c>
      <c r="D2661" s="8" t="s">
        <v>69</v>
      </c>
      <c r="E2661" s="16" t="s">
        <v>73</v>
      </c>
      <c r="F2661" s="16" t="s">
        <v>187</v>
      </c>
      <c r="G2661" s="8" t="s">
        <v>1386</v>
      </c>
      <c r="H2661" s="8" t="s">
        <v>1387</v>
      </c>
      <c r="I2661" s="16" t="s">
        <v>138</v>
      </c>
      <c r="J2661" s="16">
        <v>17.370286</v>
      </c>
      <c r="K2661" s="16">
        <v>-97.277189000000007</v>
      </c>
      <c r="L2661" s="16" t="str">
        <f>HYPERLINK("https://maps.google.com/?q=17.370286,-97.277189", "🔗 Ver Mapa")</f>
        <v>🔗 Ver Mapa</v>
      </c>
    </row>
    <row r="2662" spans="1:12" ht="72.5" x14ac:dyDescent="0.35">
      <c r="A2662" s="6" t="s">
        <v>225</v>
      </c>
      <c r="B2662" s="6" t="s">
        <v>226</v>
      </c>
      <c r="C2662" s="6" t="s">
        <v>1385</v>
      </c>
      <c r="D2662" s="11" t="s">
        <v>69</v>
      </c>
      <c r="E2662" s="17" t="s">
        <v>73</v>
      </c>
      <c r="F2662" s="17" t="s">
        <v>187</v>
      </c>
      <c r="G2662" s="11" t="s">
        <v>1386</v>
      </c>
      <c r="H2662" s="11" t="s">
        <v>1387</v>
      </c>
      <c r="I2662" s="17" t="s">
        <v>138</v>
      </c>
      <c r="J2662" s="17">
        <v>17.378017</v>
      </c>
      <c r="K2662" s="17">
        <v>-97.268737000000002</v>
      </c>
      <c r="L2662" s="17" t="str">
        <f>HYPERLINK("https://maps.google.com/?q=17.378017,-97.268737", "🔗 Ver Mapa")</f>
        <v>🔗 Ver Mapa</v>
      </c>
    </row>
    <row r="2663" spans="1:12" ht="72.5" x14ac:dyDescent="0.35">
      <c r="A2663" s="5" t="s">
        <v>225</v>
      </c>
      <c r="B2663" s="5" t="s">
        <v>226</v>
      </c>
      <c r="C2663" s="5" t="s">
        <v>1385</v>
      </c>
      <c r="D2663" s="8" t="s">
        <v>69</v>
      </c>
      <c r="E2663" s="16" t="s">
        <v>73</v>
      </c>
      <c r="F2663" s="16" t="s">
        <v>187</v>
      </c>
      <c r="G2663" s="8" t="s">
        <v>1386</v>
      </c>
      <c r="H2663" s="8" t="s">
        <v>1387</v>
      </c>
      <c r="I2663" s="16" t="s">
        <v>138</v>
      </c>
      <c r="J2663" s="16">
        <v>17.38529097907</v>
      </c>
      <c r="K2663" s="16">
        <v>-97.268851138268005</v>
      </c>
      <c r="L2663" s="16" t="str">
        <f>HYPERLINK("https://maps.google.com/?q=17.38529097907,-97.268851138268", "🔗 Ver Mapa")</f>
        <v>🔗 Ver Mapa</v>
      </c>
    </row>
    <row r="2664" spans="1:12" ht="43.5" x14ac:dyDescent="0.35">
      <c r="A2664" s="6" t="s">
        <v>225</v>
      </c>
      <c r="B2664" s="6" t="s">
        <v>226</v>
      </c>
      <c r="C2664" s="6" t="s">
        <v>1388</v>
      </c>
      <c r="D2664" s="11" t="s">
        <v>69</v>
      </c>
      <c r="E2664" s="17" t="s">
        <v>164</v>
      </c>
      <c r="F2664" s="17" t="s">
        <v>165</v>
      </c>
      <c r="G2664" s="11" t="s">
        <v>1389</v>
      </c>
      <c r="H2664" s="11" t="s">
        <v>1390</v>
      </c>
      <c r="I2664" s="17" t="s">
        <v>138</v>
      </c>
      <c r="J2664" s="17">
        <v>17.986180999999998</v>
      </c>
      <c r="K2664" s="17">
        <v>-96.794606000000002</v>
      </c>
      <c r="L2664" s="17" t="str">
        <f>HYPERLINK("https://maps.google.com/?q=17.986181,-96.794606", "🔗 Ver Mapa")</f>
        <v>🔗 Ver Mapa</v>
      </c>
    </row>
    <row r="2665" spans="1:12" ht="43.5" x14ac:dyDescent="0.35">
      <c r="A2665" s="5" t="s">
        <v>225</v>
      </c>
      <c r="B2665" s="5" t="s">
        <v>226</v>
      </c>
      <c r="C2665" s="5" t="s">
        <v>1388</v>
      </c>
      <c r="D2665" s="8" t="s">
        <v>69</v>
      </c>
      <c r="E2665" s="16" t="s">
        <v>164</v>
      </c>
      <c r="F2665" s="16" t="s">
        <v>165</v>
      </c>
      <c r="G2665" s="8" t="s">
        <v>1389</v>
      </c>
      <c r="H2665" s="8" t="s">
        <v>1390</v>
      </c>
      <c r="I2665" s="16" t="s">
        <v>138</v>
      </c>
      <c r="J2665" s="16">
        <v>17.986421</v>
      </c>
      <c r="K2665" s="16">
        <v>-96.795704000000001</v>
      </c>
      <c r="L2665" s="16" t="str">
        <f>HYPERLINK("https://maps.google.com/?q=17.986421,-96.795704", "🔗 Ver Mapa")</f>
        <v>🔗 Ver Mapa</v>
      </c>
    </row>
    <row r="2666" spans="1:12" ht="43.5" x14ac:dyDescent="0.35">
      <c r="A2666" s="6" t="s">
        <v>225</v>
      </c>
      <c r="B2666" s="6" t="s">
        <v>226</v>
      </c>
      <c r="C2666" s="6" t="s">
        <v>1388</v>
      </c>
      <c r="D2666" s="11" t="s">
        <v>69</v>
      </c>
      <c r="E2666" s="17" t="s">
        <v>164</v>
      </c>
      <c r="F2666" s="17" t="s">
        <v>165</v>
      </c>
      <c r="G2666" s="11" t="s">
        <v>1389</v>
      </c>
      <c r="H2666" s="11" t="s">
        <v>1390</v>
      </c>
      <c r="I2666" s="17" t="s">
        <v>138</v>
      </c>
      <c r="J2666" s="17">
        <v>17.986477000000001</v>
      </c>
      <c r="K2666" s="17">
        <v>-96.794860999999997</v>
      </c>
      <c r="L2666" s="17" t="str">
        <f>HYPERLINK("https://maps.google.com/?q=17.986477,-96.794861", "🔗 Ver Mapa")</f>
        <v>🔗 Ver Mapa</v>
      </c>
    </row>
    <row r="2667" spans="1:12" ht="72.5" x14ac:dyDescent="0.35">
      <c r="A2667" s="5" t="s">
        <v>225</v>
      </c>
      <c r="B2667" s="5" t="s">
        <v>226</v>
      </c>
      <c r="C2667" s="5" t="s">
        <v>1391</v>
      </c>
      <c r="D2667" s="8" t="s">
        <v>69</v>
      </c>
      <c r="E2667" s="16" t="s">
        <v>79</v>
      </c>
      <c r="F2667" s="16" t="s">
        <v>91</v>
      </c>
      <c r="G2667" s="8" t="s">
        <v>1392</v>
      </c>
      <c r="H2667" s="8" t="s">
        <v>1393</v>
      </c>
      <c r="I2667" s="16" t="s">
        <v>138</v>
      </c>
      <c r="J2667" s="16">
        <v>16.65212</v>
      </c>
      <c r="K2667" s="16">
        <v>-97.339979999999997</v>
      </c>
      <c r="L2667" s="16" t="str">
        <f>HYPERLINK("https://maps.google.com/?q=16.65212,-97.33998", "🔗 Ver Mapa")</f>
        <v>🔗 Ver Mapa</v>
      </c>
    </row>
    <row r="2668" spans="1:12" ht="72.5" x14ac:dyDescent="0.35">
      <c r="A2668" s="6" t="s">
        <v>225</v>
      </c>
      <c r="B2668" s="6" t="s">
        <v>226</v>
      </c>
      <c r="C2668" s="6" t="s">
        <v>1391</v>
      </c>
      <c r="D2668" s="11" t="s">
        <v>69</v>
      </c>
      <c r="E2668" s="17" t="s">
        <v>79</v>
      </c>
      <c r="F2668" s="17" t="s">
        <v>91</v>
      </c>
      <c r="G2668" s="11" t="s">
        <v>1392</v>
      </c>
      <c r="H2668" s="11" t="s">
        <v>1393</v>
      </c>
      <c r="I2668" s="17" t="s">
        <v>138</v>
      </c>
      <c r="J2668" s="17">
        <v>16.652912000000001</v>
      </c>
      <c r="K2668" s="17">
        <v>-97.340951000000004</v>
      </c>
      <c r="L2668" s="17" t="str">
        <f>HYPERLINK("https://maps.google.com/?q=16.652912,-97.340951", "🔗 Ver Mapa")</f>
        <v>🔗 Ver Mapa</v>
      </c>
    </row>
    <row r="2669" spans="1:12" ht="72.5" x14ac:dyDescent="0.35">
      <c r="A2669" s="5" t="s">
        <v>225</v>
      </c>
      <c r="B2669" s="5" t="s">
        <v>226</v>
      </c>
      <c r="C2669" s="5" t="s">
        <v>1391</v>
      </c>
      <c r="D2669" s="8" t="s">
        <v>69</v>
      </c>
      <c r="E2669" s="16" t="s">
        <v>79</v>
      </c>
      <c r="F2669" s="16" t="s">
        <v>91</v>
      </c>
      <c r="G2669" s="8" t="s">
        <v>1392</v>
      </c>
      <c r="H2669" s="8" t="s">
        <v>1393</v>
      </c>
      <c r="I2669" s="16" t="s">
        <v>138</v>
      </c>
      <c r="J2669" s="16">
        <v>16.654001999999998</v>
      </c>
      <c r="K2669" s="16">
        <v>-97.338656</v>
      </c>
      <c r="L2669" s="16" t="str">
        <f>HYPERLINK("https://maps.google.com/?q=16.654002,-97.338656", "🔗 Ver Mapa")</f>
        <v>🔗 Ver Mapa</v>
      </c>
    </row>
    <row r="2670" spans="1:12" ht="72.5" x14ac:dyDescent="0.35">
      <c r="A2670" s="6" t="s">
        <v>225</v>
      </c>
      <c r="B2670" s="6" t="s">
        <v>226</v>
      </c>
      <c r="C2670" s="6" t="s">
        <v>1394</v>
      </c>
      <c r="D2670" s="11" t="s">
        <v>69</v>
      </c>
      <c r="E2670" s="17" t="s">
        <v>79</v>
      </c>
      <c r="F2670" s="17" t="s">
        <v>91</v>
      </c>
      <c r="G2670" s="11" t="s">
        <v>733</v>
      </c>
      <c r="H2670" s="11" t="s">
        <v>1395</v>
      </c>
      <c r="I2670" s="17" t="s">
        <v>138</v>
      </c>
      <c r="J2670" s="17">
        <v>16.64264</v>
      </c>
      <c r="K2670" s="17">
        <v>-97.504019</v>
      </c>
      <c r="L2670" s="17" t="str">
        <f>HYPERLINK("https://maps.google.com/?q=16.64264,-97.504019", "🔗 Ver Mapa")</f>
        <v>🔗 Ver Mapa</v>
      </c>
    </row>
    <row r="2671" spans="1:12" ht="72.5" x14ac:dyDescent="0.35">
      <c r="A2671" s="5" t="s">
        <v>225</v>
      </c>
      <c r="B2671" s="5" t="s">
        <v>226</v>
      </c>
      <c r="C2671" s="5" t="s">
        <v>1394</v>
      </c>
      <c r="D2671" s="8" t="s">
        <v>69</v>
      </c>
      <c r="E2671" s="16" t="s">
        <v>79</v>
      </c>
      <c r="F2671" s="16" t="s">
        <v>91</v>
      </c>
      <c r="G2671" s="8" t="s">
        <v>733</v>
      </c>
      <c r="H2671" s="8" t="s">
        <v>1395</v>
      </c>
      <c r="I2671" s="16" t="s">
        <v>138</v>
      </c>
      <c r="J2671" s="16">
        <v>16.64424</v>
      </c>
      <c r="K2671" s="16">
        <v>-97.502279999999999</v>
      </c>
      <c r="L2671" s="16" t="str">
        <f>HYPERLINK("https://maps.google.com/?q=16.64424,-97.50228", "🔗 Ver Mapa")</f>
        <v>🔗 Ver Mapa</v>
      </c>
    </row>
    <row r="2672" spans="1:12" ht="72.5" x14ac:dyDescent="0.35">
      <c r="A2672" s="6" t="s">
        <v>225</v>
      </c>
      <c r="B2672" s="6" t="s">
        <v>226</v>
      </c>
      <c r="C2672" s="6" t="s">
        <v>1394</v>
      </c>
      <c r="D2672" s="11" t="s">
        <v>69</v>
      </c>
      <c r="E2672" s="17" t="s">
        <v>79</v>
      </c>
      <c r="F2672" s="17" t="s">
        <v>91</v>
      </c>
      <c r="G2672" s="11" t="s">
        <v>733</v>
      </c>
      <c r="H2672" s="11" t="s">
        <v>1395</v>
      </c>
      <c r="I2672" s="17" t="s">
        <v>138</v>
      </c>
      <c r="J2672" s="17">
        <v>16.644273999999999</v>
      </c>
      <c r="K2672" s="17">
        <v>-97.497555000000006</v>
      </c>
      <c r="L2672" s="17" t="str">
        <f>HYPERLINK("https://maps.google.com/?q=16.644274,-97.497555", "🔗 Ver Mapa")</f>
        <v>🔗 Ver Mapa</v>
      </c>
    </row>
    <row r="2673" spans="1:12" ht="72.5" x14ac:dyDescent="0.35">
      <c r="A2673" s="5" t="s">
        <v>225</v>
      </c>
      <c r="B2673" s="5" t="s">
        <v>226</v>
      </c>
      <c r="C2673" s="5" t="s">
        <v>1396</v>
      </c>
      <c r="D2673" s="8" t="s">
        <v>69</v>
      </c>
      <c r="E2673" s="16" t="s">
        <v>73</v>
      </c>
      <c r="F2673" s="16" t="s">
        <v>83</v>
      </c>
      <c r="G2673" s="8" t="s">
        <v>274</v>
      </c>
      <c r="H2673" s="8" t="s">
        <v>275</v>
      </c>
      <c r="I2673" s="16" t="s">
        <v>138</v>
      </c>
      <c r="J2673" s="16">
        <v>17.006976000000002</v>
      </c>
      <c r="K2673" s="16">
        <v>-97.696875000000006</v>
      </c>
      <c r="L2673" s="16" t="str">
        <f>HYPERLINK("https://maps.google.com/?q=17.006976,-97.696875", "🔗 Ver Mapa")</f>
        <v>🔗 Ver Mapa</v>
      </c>
    </row>
    <row r="2674" spans="1:12" ht="72.5" x14ac:dyDescent="0.35">
      <c r="A2674" s="6" t="s">
        <v>225</v>
      </c>
      <c r="B2674" s="6" t="s">
        <v>226</v>
      </c>
      <c r="C2674" s="6" t="s">
        <v>1396</v>
      </c>
      <c r="D2674" s="11" t="s">
        <v>69</v>
      </c>
      <c r="E2674" s="17" t="s">
        <v>73</v>
      </c>
      <c r="F2674" s="17" t="s">
        <v>83</v>
      </c>
      <c r="G2674" s="11" t="s">
        <v>274</v>
      </c>
      <c r="H2674" s="11" t="s">
        <v>275</v>
      </c>
      <c r="I2674" s="17" t="s">
        <v>138</v>
      </c>
      <c r="J2674" s="17">
        <v>17.00826</v>
      </c>
      <c r="K2674" s="17">
        <v>-97.699440999999993</v>
      </c>
      <c r="L2674" s="17" t="str">
        <f>HYPERLINK("https://maps.google.com/?q=17.00826,-97.699441", "🔗 Ver Mapa")</f>
        <v>🔗 Ver Mapa</v>
      </c>
    </row>
    <row r="2675" spans="1:12" ht="72.5" x14ac:dyDescent="0.35">
      <c r="A2675" s="5" t="s">
        <v>225</v>
      </c>
      <c r="B2675" s="5" t="s">
        <v>226</v>
      </c>
      <c r="C2675" s="5" t="s">
        <v>1396</v>
      </c>
      <c r="D2675" s="8" t="s">
        <v>69</v>
      </c>
      <c r="E2675" s="16" t="s">
        <v>73</v>
      </c>
      <c r="F2675" s="16" t="s">
        <v>83</v>
      </c>
      <c r="G2675" s="8" t="s">
        <v>274</v>
      </c>
      <c r="H2675" s="8" t="s">
        <v>275</v>
      </c>
      <c r="I2675" s="16" t="s">
        <v>138</v>
      </c>
      <c r="J2675" s="16">
        <v>17.009920999999999</v>
      </c>
      <c r="K2675" s="16">
        <v>-97.701627999999999</v>
      </c>
      <c r="L2675" s="16" t="str">
        <f>HYPERLINK("https://maps.google.com/?q=17.009921,-97.701628", "🔗 Ver Mapa")</f>
        <v>🔗 Ver Mapa</v>
      </c>
    </row>
    <row r="2676" spans="1:12" ht="43.5" x14ac:dyDescent="0.35">
      <c r="A2676" s="6" t="s">
        <v>1221</v>
      </c>
      <c r="B2676" s="6" t="s">
        <v>1222</v>
      </c>
      <c r="C2676" s="6" t="s">
        <v>1397</v>
      </c>
      <c r="D2676" s="11" t="s">
        <v>67</v>
      </c>
      <c r="E2676" s="17" t="s">
        <v>75</v>
      </c>
      <c r="F2676" s="17" t="s">
        <v>86</v>
      </c>
      <c r="G2676" s="11" t="s">
        <v>103</v>
      </c>
      <c r="H2676" s="11" t="s">
        <v>125</v>
      </c>
      <c r="I2676" s="17" t="s">
        <v>296</v>
      </c>
      <c r="J2676" s="17">
        <v>17.060107630573999</v>
      </c>
      <c r="K2676" s="17">
        <v>-96.715803781787997</v>
      </c>
      <c r="L2676" s="17" t="str">
        <f>HYPERLINK("https://maps.google.com/?q=17.060107630574,-96.715803781788", "🔗 Ver Mapa")</f>
        <v>🔗 Ver Mapa</v>
      </c>
    </row>
    <row r="2677" spans="1:12" ht="43.5" x14ac:dyDescent="0.35">
      <c r="A2677" s="5" t="s">
        <v>1221</v>
      </c>
      <c r="B2677" s="5" t="s">
        <v>1222</v>
      </c>
      <c r="C2677" s="5" t="s">
        <v>1397</v>
      </c>
      <c r="D2677" s="8" t="s">
        <v>67</v>
      </c>
      <c r="E2677" s="16" t="s">
        <v>75</v>
      </c>
      <c r="F2677" s="16" t="s">
        <v>86</v>
      </c>
      <c r="G2677" s="8" t="s">
        <v>103</v>
      </c>
      <c r="H2677" s="8" t="s">
        <v>125</v>
      </c>
      <c r="I2677" s="16" t="s">
        <v>296</v>
      </c>
      <c r="J2677" s="16">
        <v>17.060158914270001</v>
      </c>
      <c r="K2677" s="16">
        <v>-96.716211477559</v>
      </c>
      <c r="L2677" s="16" t="str">
        <f>HYPERLINK("https://maps.google.com/?q=17.06015891427,-96.716211477559", "🔗 Ver Mapa")</f>
        <v>🔗 Ver Mapa</v>
      </c>
    </row>
    <row r="2678" spans="1:12" ht="43.5" x14ac:dyDescent="0.35">
      <c r="A2678" s="6" t="s">
        <v>1221</v>
      </c>
      <c r="B2678" s="6" t="s">
        <v>1222</v>
      </c>
      <c r="C2678" s="6" t="s">
        <v>1397</v>
      </c>
      <c r="D2678" s="11" t="s">
        <v>67</v>
      </c>
      <c r="E2678" s="17" t="s">
        <v>75</v>
      </c>
      <c r="F2678" s="17" t="s">
        <v>86</v>
      </c>
      <c r="G2678" s="11" t="s">
        <v>103</v>
      </c>
      <c r="H2678" s="11" t="s">
        <v>125</v>
      </c>
      <c r="I2678" s="17" t="s">
        <v>296</v>
      </c>
      <c r="J2678" s="17">
        <v>17.060725744102001</v>
      </c>
      <c r="K2678" s="17">
        <v>-96.713827361688004</v>
      </c>
      <c r="L2678" s="17" t="str">
        <f>HYPERLINK("https://maps.google.com/?q=17.060725744102,-96.713827361688", "🔗 Ver Mapa")</f>
        <v>🔗 Ver Mapa</v>
      </c>
    </row>
    <row r="2679" spans="1:12" ht="43.5" x14ac:dyDescent="0.35">
      <c r="A2679" s="5" t="s">
        <v>1221</v>
      </c>
      <c r="B2679" s="5" t="s">
        <v>1222</v>
      </c>
      <c r="C2679" s="5" t="s">
        <v>1397</v>
      </c>
      <c r="D2679" s="8" t="s">
        <v>67</v>
      </c>
      <c r="E2679" s="16" t="s">
        <v>75</v>
      </c>
      <c r="F2679" s="16" t="s">
        <v>86</v>
      </c>
      <c r="G2679" s="8" t="s">
        <v>103</v>
      </c>
      <c r="H2679" s="8" t="s">
        <v>125</v>
      </c>
      <c r="I2679" s="16" t="s">
        <v>296</v>
      </c>
      <c r="J2679" s="16">
        <v>17.060736000809001</v>
      </c>
      <c r="K2679" s="16">
        <v>-96.713551094159001</v>
      </c>
      <c r="L2679" s="16" t="str">
        <f>HYPERLINK("https://maps.google.com/?q=17.060736000809,-96.713551094159", "🔗 Ver Mapa")</f>
        <v>🔗 Ver Mapa</v>
      </c>
    </row>
    <row r="2680" spans="1:12" ht="43.5" x14ac:dyDescent="0.35">
      <c r="A2680" s="6" t="s">
        <v>1221</v>
      </c>
      <c r="B2680" s="6" t="s">
        <v>1222</v>
      </c>
      <c r="C2680" s="6" t="s">
        <v>1397</v>
      </c>
      <c r="D2680" s="11" t="s">
        <v>67</v>
      </c>
      <c r="E2680" s="17" t="s">
        <v>75</v>
      </c>
      <c r="F2680" s="17" t="s">
        <v>86</v>
      </c>
      <c r="G2680" s="11" t="s">
        <v>103</v>
      </c>
      <c r="H2680" s="11" t="s">
        <v>125</v>
      </c>
      <c r="I2680" s="17" t="s">
        <v>296</v>
      </c>
      <c r="J2680" s="17">
        <v>17.060779591804</v>
      </c>
      <c r="K2680" s="17">
        <v>-96.714031209572994</v>
      </c>
      <c r="L2680" s="17" t="str">
        <f>HYPERLINK("https://maps.google.com/?q=17.060779591804,-96.714031209573", "🔗 Ver Mapa")</f>
        <v>🔗 Ver Mapa</v>
      </c>
    </row>
    <row r="2681" spans="1:12" ht="43.5" x14ac:dyDescent="0.35">
      <c r="A2681" s="5" t="s">
        <v>1221</v>
      </c>
      <c r="B2681" s="5" t="s">
        <v>1222</v>
      </c>
      <c r="C2681" s="5" t="s">
        <v>1397</v>
      </c>
      <c r="D2681" s="8" t="s">
        <v>67</v>
      </c>
      <c r="E2681" s="16" t="s">
        <v>75</v>
      </c>
      <c r="F2681" s="16" t="s">
        <v>86</v>
      </c>
      <c r="G2681" s="8" t="s">
        <v>103</v>
      </c>
      <c r="H2681" s="8" t="s">
        <v>125</v>
      </c>
      <c r="I2681" s="16" t="s">
        <v>296</v>
      </c>
      <c r="J2681" s="16">
        <v>17.060833439490001</v>
      </c>
      <c r="K2681" s="16">
        <v>-96.714302112683001</v>
      </c>
      <c r="L2681" s="16" t="str">
        <f>HYPERLINK("https://maps.google.com/?q=17.06083343949,-96.714302112683", "🔗 Ver Mapa")</f>
        <v>🔗 Ver Mapa</v>
      </c>
    </row>
    <row r="2682" spans="1:12" ht="43.5" x14ac:dyDescent="0.35">
      <c r="A2682" s="6" t="s">
        <v>1221</v>
      </c>
      <c r="B2682" s="6" t="s">
        <v>1222</v>
      </c>
      <c r="C2682" s="6" t="s">
        <v>1397</v>
      </c>
      <c r="D2682" s="11" t="s">
        <v>67</v>
      </c>
      <c r="E2682" s="17" t="s">
        <v>75</v>
      </c>
      <c r="F2682" s="17" t="s">
        <v>86</v>
      </c>
      <c r="G2682" s="11" t="s">
        <v>103</v>
      </c>
      <c r="H2682" s="11" t="s">
        <v>125</v>
      </c>
      <c r="I2682" s="17" t="s">
        <v>296</v>
      </c>
      <c r="J2682" s="17">
        <v>17.061100113517998</v>
      </c>
      <c r="K2682" s="17">
        <v>-96.713628878221002</v>
      </c>
      <c r="L2682" s="17" t="str">
        <f>HYPERLINK("https://maps.google.com/?q=17.061100113518,-96.713628878221", "🔗 Ver Mapa")</f>
        <v>🔗 Ver Mapa</v>
      </c>
    </row>
    <row r="2683" spans="1:12" ht="43.5" x14ac:dyDescent="0.35">
      <c r="A2683" s="5" t="s">
        <v>1221</v>
      </c>
      <c r="B2683" s="5" t="s">
        <v>1222</v>
      </c>
      <c r="C2683" s="5" t="s">
        <v>1397</v>
      </c>
      <c r="D2683" s="8" t="s">
        <v>67</v>
      </c>
      <c r="E2683" s="16" t="s">
        <v>75</v>
      </c>
      <c r="F2683" s="16" t="s">
        <v>86</v>
      </c>
      <c r="G2683" s="8" t="s">
        <v>103</v>
      </c>
      <c r="H2683" s="8" t="s">
        <v>125</v>
      </c>
      <c r="I2683" s="16" t="s">
        <v>296</v>
      </c>
      <c r="J2683" s="16">
        <v>17.061746283619001</v>
      </c>
      <c r="K2683" s="16">
        <v>-96.711536755189002</v>
      </c>
      <c r="L2683" s="16" t="str">
        <f>HYPERLINK("https://maps.google.com/?q=17.061746283619,-96.711536755189", "🔗 Ver Mapa")</f>
        <v>🔗 Ver Mapa</v>
      </c>
    </row>
    <row r="2684" spans="1:12" ht="43.5" x14ac:dyDescent="0.35">
      <c r="A2684" s="6" t="s">
        <v>1221</v>
      </c>
      <c r="B2684" s="6" t="s">
        <v>1222</v>
      </c>
      <c r="C2684" s="6" t="s">
        <v>1397</v>
      </c>
      <c r="D2684" s="11" t="s">
        <v>67</v>
      </c>
      <c r="E2684" s="17" t="s">
        <v>75</v>
      </c>
      <c r="F2684" s="17" t="s">
        <v>86</v>
      </c>
      <c r="G2684" s="11" t="s">
        <v>103</v>
      </c>
      <c r="H2684" s="11" t="s">
        <v>125</v>
      </c>
      <c r="I2684" s="17" t="s">
        <v>296</v>
      </c>
      <c r="J2684" s="17">
        <v>17.061805234908999</v>
      </c>
      <c r="K2684" s="17">
        <v>-96.711556633382997</v>
      </c>
      <c r="L2684" s="17" t="str">
        <f>HYPERLINK("https://maps.google.com/?q=17.061805234909,-96.711556633383", "🔗 Ver Mapa")</f>
        <v>🔗 Ver Mapa</v>
      </c>
    </row>
    <row r="2685" spans="1:12" ht="43.5" x14ac:dyDescent="0.35">
      <c r="A2685" s="5" t="s">
        <v>1221</v>
      </c>
      <c r="B2685" s="5" t="s">
        <v>1222</v>
      </c>
      <c r="C2685" s="5" t="s">
        <v>1397</v>
      </c>
      <c r="D2685" s="8" t="s">
        <v>67</v>
      </c>
      <c r="E2685" s="16" t="s">
        <v>75</v>
      </c>
      <c r="F2685" s="16" t="s">
        <v>86</v>
      </c>
      <c r="G2685" s="8" t="s">
        <v>103</v>
      </c>
      <c r="H2685" s="8" t="s">
        <v>125</v>
      </c>
      <c r="I2685" s="16" t="s">
        <v>296</v>
      </c>
      <c r="J2685" s="16">
        <v>17.062317945078998</v>
      </c>
      <c r="K2685" s="16">
        <v>-96.726580897610006</v>
      </c>
      <c r="L2685" s="16" t="str">
        <f>HYPERLINK("https://maps.google.com/?q=17.062317945079,-96.72658089761", "🔗 Ver Mapa")</f>
        <v>🔗 Ver Mapa</v>
      </c>
    </row>
    <row r="2686" spans="1:12" ht="43.5" x14ac:dyDescent="0.35">
      <c r="A2686" s="6" t="s">
        <v>1221</v>
      </c>
      <c r="B2686" s="6" t="s">
        <v>1222</v>
      </c>
      <c r="C2686" s="6" t="s">
        <v>1397</v>
      </c>
      <c r="D2686" s="11" t="s">
        <v>67</v>
      </c>
      <c r="E2686" s="17" t="s">
        <v>75</v>
      </c>
      <c r="F2686" s="17" t="s">
        <v>86</v>
      </c>
      <c r="G2686" s="11" t="s">
        <v>103</v>
      </c>
      <c r="H2686" s="11" t="s">
        <v>125</v>
      </c>
      <c r="I2686" s="17" t="s">
        <v>296</v>
      </c>
      <c r="J2686" s="17">
        <v>17.062351425020001</v>
      </c>
      <c r="K2686" s="17">
        <v>-96.709530462846004</v>
      </c>
      <c r="L2686" s="17" t="str">
        <f>HYPERLINK("https://maps.google.com/?q=17.06235142502,-96.709530462846", "🔗 Ver Mapa")</f>
        <v>🔗 Ver Mapa</v>
      </c>
    </row>
    <row r="2687" spans="1:12" ht="43.5" x14ac:dyDescent="0.35">
      <c r="A2687" s="5" t="s">
        <v>1221</v>
      </c>
      <c r="B2687" s="5" t="s">
        <v>1222</v>
      </c>
      <c r="C2687" s="5" t="s">
        <v>1397</v>
      </c>
      <c r="D2687" s="8" t="s">
        <v>67</v>
      </c>
      <c r="E2687" s="16" t="s">
        <v>75</v>
      </c>
      <c r="F2687" s="16" t="s">
        <v>86</v>
      </c>
      <c r="G2687" s="8" t="s">
        <v>103</v>
      </c>
      <c r="H2687" s="8" t="s">
        <v>125</v>
      </c>
      <c r="I2687" s="16" t="s">
        <v>296</v>
      </c>
      <c r="J2687" s="16">
        <v>17.062418068578001</v>
      </c>
      <c r="K2687" s="16">
        <v>-96.709531986564997</v>
      </c>
      <c r="L2687" s="16" t="str">
        <f>HYPERLINK("https://maps.google.com/?q=17.062418068578,-96.709531986565", "🔗 Ver Mapa")</f>
        <v>🔗 Ver Mapa</v>
      </c>
    </row>
    <row r="2688" spans="1:12" ht="43.5" x14ac:dyDescent="0.35">
      <c r="A2688" s="6" t="s">
        <v>1221</v>
      </c>
      <c r="B2688" s="6" t="s">
        <v>1222</v>
      </c>
      <c r="C2688" s="6" t="s">
        <v>1397</v>
      </c>
      <c r="D2688" s="11" t="s">
        <v>67</v>
      </c>
      <c r="E2688" s="17" t="s">
        <v>75</v>
      </c>
      <c r="F2688" s="17" t="s">
        <v>86</v>
      </c>
      <c r="G2688" s="11" t="s">
        <v>103</v>
      </c>
      <c r="H2688" s="11" t="s">
        <v>125</v>
      </c>
      <c r="I2688" s="17" t="s">
        <v>296</v>
      </c>
      <c r="J2688" s="17">
        <v>17.062725766732999</v>
      </c>
      <c r="K2688" s="17">
        <v>-96.711476167111996</v>
      </c>
      <c r="L2688" s="17" t="str">
        <f>HYPERLINK("https://maps.google.com/?q=17.062725766733,-96.711476167112", "🔗 Ver Mapa")</f>
        <v>🔗 Ver Mapa</v>
      </c>
    </row>
    <row r="2689" spans="1:12" ht="43.5" x14ac:dyDescent="0.35">
      <c r="A2689" s="5" t="s">
        <v>1221</v>
      </c>
      <c r="B2689" s="5" t="s">
        <v>1222</v>
      </c>
      <c r="C2689" s="5" t="s">
        <v>1397</v>
      </c>
      <c r="D2689" s="8" t="s">
        <v>67</v>
      </c>
      <c r="E2689" s="16" t="s">
        <v>75</v>
      </c>
      <c r="F2689" s="16" t="s">
        <v>86</v>
      </c>
      <c r="G2689" s="8" t="s">
        <v>103</v>
      </c>
      <c r="H2689" s="8" t="s">
        <v>125</v>
      </c>
      <c r="I2689" s="16" t="s">
        <v>296</v>
      </c>
      <c r="J2689" s="16">
        <v>17.063020643655999</v>
      </c>
      <c r="K2689" s="16">
        <v>-96.714083274274998</v>
      </c>
      <c r="L2689" s="16" t="str">
        <f>HYPERLINK("https://maps.google.com/?q=17.063020643656,-96.714083274275", "🔗 Ver Mapa")</f>
        <v>🔗 Ver Mapa</v>
      </c>
    </row>
    <row r="2690" spans="1:12" ht="43.5" x14ac:dyDescent="0.35">
      <c r="A2690" s="6" t="s">
        <v>1221</v>
      </c>
      <c r="B2690" s="6" t="s">
        <v>1222</v>
      </c>
      <c r="C2690" s="6" t="s">
        <v>1397</v>
      </c>
      <c r="D2690" s="11" t="s">
        <v>67</v>
      </c>
      <c r="E2690" s="17" t="s">
        <v>75</v>
      </c>
      <c r="F2690" s="17" t="s">
        <v>86</v>
      </c>
      <c r="G2690" s="11" t="s">
        <v>103</v>
      </c>
      <c r="H2690" s="11" t="s">
        <v>125</v>
      </c>
      <c r="I2690" s="17" t="s">
        <v>296</v>
      </c>
      <c r="J2690" s="17">
        <v>17.063043720961002</v>
      </c>
      <c r="K2690" s="17">
        <v>-96.725324412256001</v>
      </c>
      <c r="L2690" s="17" t="str">
        <f>HYPERLINK("https://maps.google.com/?q=17.063043720961,-96.725324412256", "🔗 Ver Mapa")</f>
        <v>🔗 Ver Mapa</v>
      </c>
    </row>
    <row r="2691" spans="1:12" ht="43.5" x14ac:dyDescent="0.35">
      <c r="A2691" s="5" t="s">
        <v>1221</v>
      </c>
      <c r="B2691" s="5" t="s">
        <v>1222</v>
      </c>
      <c r="C2691" s="5" t="s">
        <v>1397</v>
      </c>
      <c r="D2691" s="8" t="s">
        <v>67</v>
      </c>
      <c r="E2691" s="16" t="s">
        <v>75</v>
      </c>
      <c r="F2691" s="16" t="s">
        <v>86</v>
      </c>
      <c r="G2691" s="8" t="s">
        <v>103</v>
      </c>
      <c r="H2691" s="8" t="s">
        <v>125</v>
      </c>
      <c r="I2691" s="16" t="s">
        <v>296</v>
      </c>
      <c r="J2691" s="16">
        <v>17.063105260425999</v>
      </c>
      <c r="K2691" s="16">
        <v>-96.714279075533</v>
      </c>
      <c r="L2691" s="16" t="str">
        <f>HYPERLINK("https://maps.google.com/?q=17.063105260426,-96.714279075533", "🔗 Ver Mapa")</f>
        <v>🔗 Ver Mapa</v>
      </c>
    </row>
    <row r="2692" spans="1:12" ht="43.5" x14ac:dyDescent="0.35">
      <c r="A2692" s="6" t="s">
        <v>1221</v>
      </c>
      <c r="B2692" s="6" t="s">
        <v>1222</v>
      </c>
      <c r="C2692" s="6" t="s">
        <v>1397</v>
      </c>
      <c r="D2692" s="11" t="s">
        <v>67</v>
      </c>
      <c r="E2692" s="17" t="s">
        <v>75</v>
      </c>
      <c r="F2692" s="17" t="s">
        <v>86</v>
      </c>
      <c r="G2692" s="11" t="s">
        <v>103</v>
      </c>
      <c r="H2692" s="11" t="s">
        <v>125</v>
      </c>
      <c r="I2692" s="17" t="s">
        <v>296</v>
      </c>
      <c r="J2692" s="17">
        <v>17.063107703080998</v>
      </c>
      <c r="K2692" s="17">
        <v>-96.730448643010007</v>
      </c>
      <c r="L2692" s="17" t="str">
        <f>HYPERLINK("https://maps.google.com/?q=17.063107703081,-96.73044864301", "🔗 Ver Mapa")</f>
        <v>🔗 Ver Mapa</v>
      </c>
    </row>
    <row r="2693" spans="1:12" ht="43.5" x14ac:dyDescent="0.35">
      <c r="A2693" s="5" t="s">
        <v>1221</v>
      </c>
      <c r="B2693" s="5" t="s">
        <v>1222</v>
      </c>
      <c r="C2693" s="5" t="s">
        <v>1397</v>
      </c>
      <c r="D2693" s="8" t="s">
        <v>67</v>
      </c>
      <c r="E2693" s="16" t="s">
        <v>75</v>
      </c>
      <c r="F2693" s="16" t="s">
        <v>86</v>
      </c>
      <c r="G2693" s="8" t="s">
        <v>103</v>
      </c>
      <c r="H2693" s="8" t="s">
        <v>125</v>
      </c>
      <c r="I2693" s="16" t="s">
        <v>296</v>
      </c>
      <c r="J2693" s="16">
        <v>17.063323091047</v>
      </c>
      <c r="K2693" s="16">
        <v>-96.731741467755</v>
      </c>
      <c r="L2693" s="16" t="str">
        <f>HYPERLINK("https://maps.google.com/?q=17.063323091047,-96.731741467755", "🔗 Ver Mapa")</f>
        <v>🔗 Ver Mapa</v>
      </c>
    </row>
    <row r="2694" spans="1:12" ht="43.5" x14ac:dyDescent="0.35">
      <c r="A2694" s="6" t="s">
        <v>1221</v>
      </c>
      <c r="B2694" s="6" t="s">
        <v>1222</v>
      </c>
      <c r="C2694" s="6" t="s">
        <v>1397</v>
      </c>
      <c r="D2694" s="11" t="s">
        <v>67</v>
      </c>
      <c r="E2694" s="17" t="s">
        <v>75</v>
      </c>
      <c r="F2694" s="17" t="s">
        <v>86</v>
      </c>
      <c r="G2694" s="11" t="s">
        <v>103</v>
      </c>
      <c r="H2694" s="11" t="s">
        <v>125</v>
      </c>
      <c r="I2694" s="17" t="s">
        <v>296</v>
      </c>
      <c r="J2694" s="17">
        <v>17.063343604172999</v>
      </c>
      <c r="K2694" s="17">
        <v>-96.732143799107007</v>
      </c>
      <c r="L2694" s="17" t="str">
        <f>HYPERLINK("https://maps.google.com/?q=17.063343604173,-96.732143799107", "🔗 Ver Mapa")</f>
        <v>🔗 Ver Mapa</v>
      </c>
    </row>
    <row r="2695" spans="1:12" ht="43.5" x14ac:dyDescent="0.35">
      <c r="A2695" s="5" t="s">
        <v>1221</v>
      </c>
      <c r="B2695" s="5" t="s">
        <v>1222</v>
      </c>
      <c r="C2695" s="5" t="s">
        <v>1397</v>
      </c>
      <c r="D2695" s="8" t="s">
        <v>67</v>
      </c>
      <c r="E2695" s="16" t="s">
        <v>75</v>
      </c>
      <c r="F2695" s="16" t="s">
        <v>86</v>
      </c>
      <c r="G2695" s="8" t="s">
        <v>103</v>
      </c>
      <c r="H2695" s="8" t="s">
        <v>125</v>
      </c>
      <c r="I2695" s="16" t="s">
        <v>296</v>
      </c>
      <c r="J2695" s="16">
        <v>17.063548735316001</v>
      </c>
      <c r="K2695" s="16">
        <v>-96.732825080197003</v>
      </c>
      <c r="L2695" s="16" t="str">
        <f>HYPERLINK("https://maps.google.com/?q=17.063548735316,-96.732825080197", "🔗 Ver Mapa")</f>
        <v>🔗 Ver Mapa</v>
      </c>
    </row>
    <row r="2696" spans="1:12" ht="43.5" x14ac:dyDescent="0.35">
      <c r="A2696" s="6" t="s">
        <v>1221</v>
      </c>
      <c r="B2696" s="6" t="s">
        <v>1222</v>
      </c>
      <c r="C2696" s="6" t="s">
        <v>1397</v>
      </c>
      <c r="D2696" s="11" t="s">
        <v>67</v>
      </c>
      <c r="E2696" s="17" t="s">
        <v>75</v>
      </c>
      <c r="F2696" s="17" t="s">
        <v>86</v>
      </c>
      <c r="G2696" s="11" t="s">
        <v>103</v>
      </c>
      <c r="H2696" s="11" t="s">
        <v>125</v>
      </c>
      <c r="I2696" s="17" t="s">
        <v>296</v>
      </c>
      <c r="J2696" s="17">
        <v>17.063566805769</v>
      </c>
      <c r="K2696" s="17">
        <v>-96.717186590105001</v>
      </c>
      <c r="L2696" s="17" t="str">
        <f>HYPERLINK("https://maps.google.com/?q=17.063566805769,-96.717186590105", "🔗 Ver Mapa")</f>
        <v>🔗 Ver Mapa</v>
      </c>
    </row>
    <row r="2697" spans="1:12" ht="43.5" x14ac:dyDescent="0.35">
      <c r="A2697" s="5" t="s">
        <v>1221</v>
      </c>
      <c r="B2697" s="5" t="s">
        <v>1222</v>
      </c>
      <c r="C2697" s="5" t="s">
        <v>1397</v>
      </c>
      <c r="D2697" s="8" t="s">
        <v>67</v>
      </c>
      <c r="E2697" s="16" t="s">
        <v>75</v>
      </c>
      <c r="F2697" s="16" t="s">
        <v>86</v>
      </c>
      <c r="G2697" s="8" t="s">
        <v>103</v>
      </c>
      <c r="H2697" s="8" t="s">
        <v>125</v>
      </c>
      <c r="I2697" s="16" t="s">
        <v>296</v>
      </c>
      <c r="J2697" s="16">
        <v>17.064112966284998</v>
      </c>
      <c r="K2697" s="16">
        <v>-96.730415244967006</v>
      </c>
      <c r="L2697" s="16" t="str">
        <f>HYPERLINK("https://maps.google.com/?q=17.064112966285,-96.730415244967", "🔗 Ver Mapa")</f>
        <v>🔗 Ver Mapa</v>
      </c>
    </row>
    <row r="2698" spans="1:12" ht="43.5" x14ac:dyDescent="0.35">
      <c r="A2698" s="6" t="s">
        <v>1221</v>
      </c>
      <c r="B2698" s="6" t="s">
        <v>1222</v>
      </c>
      <c r="C2698" s="6" t="s">
        <v>1397</v>
      </c>
      <c r="D2698" s="11" t="s">
        <v>67</v>
      </c>
      <c r="E2698" s="17" t="s">
        <v>75</v>
      </c>
      <c r="F2698" s="17" t="s">
        <v>86</v>
      </c>
      <c r="G2698" s="11" t="s">
        <v>103</v>
      </c>
      <c r="H2698" s="11" t="s">
        <v>125</v>
      </c>
      <c r="I2698" s="17" t="s">
        <v>296</v>
      </c>
      <c r="J2698" s="17">
        <v>17.064233358871999</v>
      </c>
      <c r="K2698" s="17">
        <v>-96.731239894669002</v>
      </c>
      <c r="L2698" s="17" t="str">
        <f>HYPERLINK("https://maps.google.com/?q=17.064233358872,-96.731239894669", "🔗 Ver Mapa")</f>
        <v>🔗 Ver Mapa</v>
      </c>
    </row>
    <row r="2699" spans="1:12" ht="43.5" x14ac:dyDescent="0.35">
      <c r="A2699" s="5" t="s">
        <v>1221</v>
      </c>
      <c r="B2699" s="5" t="s">
        <v>1222</v>
      </c>
      <c r="C2699" s="5" t="s">
        <v>1397</v>
      </c>
      <c r="D2699" s="8" t="s">
        <v>67</v>
      </c>
      <c r="E2699" s="16" t="s">
        <v>75</v>
      </c>
      <c r="F2699" s="16" t="s">
        <v>86</v>
      </c>
      <c r="G2699" s="8" t="s">
        <v>103</v>
      </c>
      <c r="H2699" s="8" t="s">
        <v>125</v>
      </c>
      <c r="I2699" s="16" t="s">
        <v>296</v>
      </c>
      <c r="J2699" s="16">
        <v>17.064364129377999</v>
      </c>
      <c r="K2699" s="16">
        <v>-96.732194761078006</v>
      </c>
      <c r="L2699" s="16" t="str">
        <f>HYPERLINK("https://maps.google.com/?q=17.064364129378,-96.732194761078", "🔗 Ver Mapa")</f>
        <v>🔗 Ver Mapa</v>
      </c>
    </row>
    <row r="2700" spans="1:12" ht="43.5" x14ac:dyDescent="0.35">
      <c r="A2700" s="6" t="s">
        <v>1221</v>
      </c>
      <c r="B2700" s="6" t="s">
        <v>1222</v>
      </c>
      <c r="C2700" s="6" t="s">
        <v>1397</v>
      </c>
      <c r="D2700" s="11" t="s">
        <v>67</v>
      </c>
      <c r="E2700" s="17" t="s">
        <v>75</v>
      </c>
      <c r="F2700" s="17" t="s">
        <v>86</v>
      </c>
      <c r="G2700" s="11" t="s">
        <v>103</v>
      </c>
      <c r="H2700" s="11" t="s">
        <v>125</v>
      </c>
      <c r="I2700" s="17" t="s">
        <v>296</v>
      </c>
      <c r="J2700" s="17">
        <v>17.064523105165001</v>
      </c>
      <c r="K2700" s="17">
        <v>-96.734069625179998</v>
      </c>
      <c r="L2700" s="17" t="str">
        <f>HYPERLINK("https://maps.google.com/?q=17.064523105165,-96.73406962518", "🔗 Ver Mapa")</f>
        <v>🔗 Ver Mapa</v>
      </c>
    </row>
    <row r="2701" spans="1:12" ht="43.5" x14ac:dyDescent="0.35">
      <c r="A2701" s="5" t="s">
        <v>1221</v>
      </c>
      <c r="B2701" s="5" t="s">
        <v>1222</v>
      </c>
      <c r="C2701" s="5" t="s">
        <v>1397</v>
      </c>
      <c r="D2701" s="8" t="s">
        <v>67</v>
      </c>
      <c r="E2701" s="16" t="s">
        <v>75</v>
      </c>
      <c r="F2701" s="16" t="s">
        <v>86</v>
      </c>
      <c r="G2701" s="8" t="s">
        <v>103</v>
      </c>
      <c r="H2701" s="8" t="s">
        <v>125</v>
      </c>
      <c r="I2701" s="16" t="s">
        <v>296</v>
      </c>
      <c r="J2701" s="16">
        <v>17.064930922001999</v>
      </c>
      <c r="K2701" s="16">
        <v>-96.724927445321995</v>
      </c>
      <c r="L2701" s="16" t="str">
        <f>HYPERLINK("https://maps.google.com/?q=17.064930922002,-96.724927445322", "🔗 Ver Mapa")</f>
        <v>🔗 Ver Mapa</v>
      </c>
    </row>
    <row r="2702" spans="1:12" ht="43.5" x14ac:dyDescent="0.35">
      <c r="A2702" s="6" t="s">
        <v>1221</v>
      </c>
      <c r="B2702" s="6" t="s">
        <v>1222</v>
      </c>
      <c r="C2702" s="6" t="s">
        <v>1397</v>
      </c>
      <c r="D2702" s="11" t="s">
        <v>67</v>
      </c>
      <c r="E2702" s="17" t="s">
        <v>75</v>
      </c>
      <c r="F2702" s="17" t="s">
        <v>86</v>
      </c>
      <c r="G2702" s="11" t="s">
        <v>103</v>
      </c>
      <c r="H2702" s="11" t="s">
        <v>125</v>
      </c>
      <c r="I2702" s="17" t="s">
        <v>296</v>
      </c>
      <c r="J2702" s="17">
        <v>17.06504362171</v>
      </c>
      <c r="K2702" s="17">
        <v>-96.732886771004004</v>
      </c>
      <c r="L2702" s="17" t="str">
        <f>HYPERLINK("https://maps.google.com/?q=17.06504362171,-96.732886771004", "🔗 Ver Mapa")</f>
        <v>🔗 Ver Mapa</v>
      </c>
    </row>
    <row r="2703" spans="1:12" ht="43.5" x14ac:dyDescent="0.35">
      <c r="A2703" s="5" t="s">
        <v>1221</v>
      </c>
      <c r="B2703" s="5" t="s">
        <v>1222</v>
      </c>
      <c r="C2703" s="5" t="s">
        <v>1397</v>
      </c>
      <c r="D2703" s="8" t="s">
        <v>67</v>
      </c>
      <c r="E2703" s="16" t="s">
        <v>75</v>
      </c>
      <c r="F2703" s="16" t="s">
        <v>86</v>
      </c>
      <c r="G2703" s="8" t="s">
        <v>103</v>
      </c>
      <c r="H2703" s="8" t="s">
        <v>125</v>
      </c>
      <c r="I2703" s="16" t="s">
        <v>296</v>
      </c>
      <c r="J2703" s="16">
        <v>17.065338494972</v>
      </c>
      <c r="K2703" s="16">
        <v>-96.734756270687996</v>
      </c>
      <c r="L2703" s="16" t="str">
        <f>HYPERLINK("https://maps.google.com/?q=17.065338494972,-96.734756270688", "🔗 Ver Mapa")</f>
        <v>🔗 Ver Mapa</v>
      </c>
    </row>
    <row r="2704" spans="1:12" ht="43.5" x14ac:dyDescent="0.35">
      <c r="A2704" s="6" t="s">
        <v>1221</v>
      </c>
      <c r="B2704" s="6" t="s">
        <v>1222</v>
      </c>
      <c r="C2704" s="6" t="s">
        <v>1397</v>
      </c>
      <c r="D2704" s="11" t="s">
        <v>67</v>
      </c>
      <c r="E2704" s="17" t="s">
        <v>75</v>
      </c>
      <c r="F2704" s="17" t="s">
        <v>86</v>
      </c>
      <c r="G2704" s="11" t="s">
        <v>103</v>
      </c>
      <c r="H2704" s="11" t="s">
        <v>125</v>
      </c>
      <c r="I2704" s="17" t="s">
        <v>296</v>
      </c>
      <c r="J2704" s="17">
        <v>17.066333368275998</v>
      </c>
      <c r="K2704" s="17">
        <v>-96.735442916196007</v>
      </c>
      <c r="L2704" s="17" t="str">
        <f>HYPERLINK("https://maps.google.com/?q=17.066333368276,-96.735442916196", "🔗 Ver Mapa")</f>
        <v>🔗 Ver Mapa</v>
      </c>
    </row>
    <row r="2705" spans="1:12" ht="43.5" x14ac:dyDescent="0.35">
      <c r="A2705" s="5" t="s">
        <v>1221</v>
      </c>
      <c r="B2705" s="5" t="s">
        <v>1222</v>
      </c>
      <c r="C2705" s="5" t="s">
        <v>1397</v>
      </c>
      <c r="D2705" s="8" t="s">
        <v>67</v>
      </c>
      <c r="E2705" s="16" t="s">
        <v>75</v>
      </c>
      <c r="F2705" s="16" t="s">
        <v>86</v>
      </c>
      <c r="G2705" s="8" t="s">
        <v>103</v>
      </c>
      <c r="H2705" s="8" t="s">
        <v>125</v>
      </c>
      <c r="I2705" s="16" t="s">
        <v>296</v>
      </c>
      <c r="J2705" s="16">
        <v>17.066400034853999</v>
      </c>
      <c r="K2705" s="16">
        <v>-96.733940879146999</v>
      </c>
      <c r="L2705" s="16" t="str">
        <f>HYPERLINK("https://maps.google.com/?q=17.066400034854,-96.733940879147", "🔗 Ver Mapa")</f>
        <v>🔗 Ver Mapa</v>
      </c>
    </row>
    <row r="2706" spans="1:12" ht="43.5" x14ac:dyDescent="0.35">
      <c r="A2706" s="6" t="s">
        <v>1221</v>
      </c>
      <c r="B2706" s="6" t="s">
        <v>1222</v>
      </c>
      <c r="C2706" s="6" t="s">
        <v>1397</v>
      </c>
      <c r="D2706" s="11" t="s">
        <v>67</v>
      </c>
      <c r="E2706" s="17" t="s">
        <v>75</v>
      </c>
      <c r="F2706" s="17" t="s">
        <v>86</v>
      </c>
      <c r="G2706" s="11" t="s">
        <v>103</v>
      </c>
      <c r="H2706" s="11" t="s">
        <v>125</v>
      </c>
      <c r="I2706" s="17" t="s">
        <v>296</v>
      </c>
      <c r="J2706" s="17">
        <v>17.066815418381999</v>
      </c>
      <c r="K2706" s="17">
        <v>-96.734439770023997</v>
      </c>
      <c r="L2706" s="17" t="str">
        <f>HYPERLINK("https://maps.google.com/?q=17.066815418382,-96.734439770024", "🔗 Ver Mapa")</f>
        <v>🔗 Ver Mapa</v>
      </c>
    </row>
    <row r="2707" spans="1:12" ht="43.5" x14ac:dyDescent="0.35">
      <c r="A2707" s="5" t="s">
        <v>1221</v>
      </c>
      <c r="B2707" s="5" t="s">
        <v>1222</v>
      </c>
      <c r="C2707" s="5" t="s">
        <v>1397</v>
      </c>
      <c r="D2707" s="8" t="s">
        <v>67</v>
      </c>
      <c r="E2707" s="16" t="s">
        <v>75</v>
      </c>
      <c r="F2707" s="16" t="s">
        <v>86</v>
      </c>
      <c r="G2707" s="8" t="s">
        <v>103</v>
      </c>
      <c r="H2707" s="8" t="s">
        <v>125</v>
      </c>
      <c r="I2707" s="16" t="s">
        <v>296</v>
      </c>
      <c r="J2707" s="16">
        <v>17.067615413681999</v>
      </c>
      <c r="K2707" s="16">
        <v>-96.735153237622001</v>
      </c>
      <c r="L2707" s="16" t="str">
        <f>HYPERLINK("https://maps.google.com/?q=17.067615413682,-96.735153237622", "🔗 Ver Mapa")</f>
        <v>🔗 Ver Mapa</v>
      </c>
    </row>
    <row r="2708" spans="1:12" ht="43.5" x14ac:dyDescent="0.35">
      <c r="A2708" s="6" t="s">
        <v>1221</v>
      </c>
      <c r="B2708" s="6" t="s">
        <v>1222</v>
      </c>
      <c r="C2708" s="6" t="s">
        <v>1397</v>
      </c>
      <c r="D2708" s="11" t="s">
        <v>67</v>
      </c>
      <c r="E2708" s="17" t="s">
        <v>75</v>
      </c>
      <c r="F2708" s="17" t="s">
        <v>86</v>
      </c>
      <c r="G2708" s="11" t="s">
        <v>103</v>
      </c>
      <c r="H2708" s="11" t="s">
        <v>125</v>
      </c>
      <c r="I2708" s="17" t="s">
        <v>296</v>
      </c>
      <c r="J2708" s="17">
        <v>17.067917975113001</v>
      </c>
      <c r="K2708" s="17">
        <v>-96.736376324933005</v>
      </c>
      <c r="L2708" s="17" t="str">
        <f>HYPERLINK("https://maps.google.com/?q=17.067917975113,-96.736376324933", "🔗 Ver Mapa")</f>
        <v>🔗 Ver Mapa</v>
      </c>
    </row>
    <row r="2709" spans="1:12" ht="43.5" x14ac:dyDescent="0.35">
      <c r="A2709" s="5" t="s">
        <v>1221</v>
      </c>
      <c r="B2709" s="5" t="s">
        <v>1222</v>
      </c>
      <c r="C2709" s="5" t="s">
        <v>1397</v>
      </c>
      <c r="D2709" s="8" t="s">
        <v>67</v>
      </c>
      <c r="E2709" s="16" t="s">
        <v>75</v>
      </c>
      <c r="F2709" s="16" t="s">
        <v>86</v>
      </c>
      <c r="G2709" s="8" t="s">
        <v>103</v>
      </c>
      <c r="H2709" s="8" t="s">
        <v>125</v>
      </c>
      <c r="I2709" s="16" t="s">
        <v>296</v>
      </c>
      <c r="J2709" s="16">
        <v>17.068256433083</v>
      </c>
      <c r="K2709" s="16">
        <v>-96.735571662227997</v>
      </c>
      <c r="L2709" s="16" t="str">
        <f>HYPERLINK("https://maps.google.com/?q=17.068256433083,-96.735571662228", "🔗 Ver Mapa")</f>
        <v>🔗 Ver Mapa</v>
      </c>
    </row>
    <row r="2710" spans="1:12" ht="43.5" x14ac:dyDescent="0.35">
      <c r="A2710" s="6" t="s">
        <v>1221</v>
      </c>
      <c r="B2710" s="6" t="s">
        <v>1222</v>
      </c>
      <c r="C2710" s="6" t="s">
        <v>1397</v>
      </c>
      <c r="D2710" s="11" t="s">
        <v>67</v>
      </c>
      <c r="E2710" s="17" t="s">
        <v>75</v>
      </c>
      <c r="F2710" s="17" t="s">
        <v>86</v>
      </c>
      <c r="G2710" s="11" t="s">
        <v>103</v>
      </c>
      <c r="H2710" s="11" t="s">
        <v>125</v>
      </c>
      <c r="I2710" s="17" t="s">
        <v>296</v>
      </c>
      <c r="J2710" s="17">
        <v>17.069198221585001</v>
      </c>
      <c r="K2710" s="17">
        <v>-96.715835607928994</v>
      </c>
      <c r="L2710" s="17" t="str">
        <f>HYPERLINK("https://maps.google.com/?q=17.069198221585,-96.715835607929", "🔗 Ver Mapa")</f>
        <v>🔗 Ver Mapa</v>
      </c>
    </row>
    <row r="2711" spans="1:12" ht="43.5" x14ac:dyDescent="0.35">
      <c r="A2711" s="5" t="s">
        <v>1221</v>
      </c>
      <c r="B2711" s="5" t="s">
        <v>1222</v>
      </c>
      <c r="C2711" s="5" t="s">
        <v>1397</v>
      </c>
      <c r="D2711" s="8" t="s">
        <v>67</v>
      </c>
      <c r="E2711" s="16" t="s">
        <v>75</v>
      </c>
      <c r="F2711" s="16" t="s">
        <v>86</v>
      </c>
      <c r="G2711" s="8" t="s">
        <v>103</v>
      </c>
      <c r="H2711" s="8" t="s">
        <v>125</v>
      </c>
      <c r="I2711" s="16" t="s">
        <v>296</v>
      </c>
      <c r="J2711" s="16">
        <v>17.069246938724</v>
      </c>
      <c r="K2711" s="16">
        <v>-96.716826684159997</v>
      </c>
      <c r="L2711" s="16" t="str">
        <f>HYPERLINK("https://maps.google.com/?q=17.069246938724,-96.71682668416", "🔗 Ver Mapa")</f>
        <v>🔗 Ver Mapa</v>
      </c>
    </row>
    <row r="2712" spans="1:12" ht="43.5" x14ac:dyDescent="0.35">
      <c r="A2712" s="6" t="s">
        <v>1221</v>
      </c>
      <c r="B2712" s="6" t="s">
        <v>1222</v>
      </c>
      <c r="C2712" s="6" t="s">
        <v>1397</v>
      </c>
      <c r="D2712" s="11" t="s">
        <v>67</v>
      </c>
      <c r="E2712" s="17" t="s">
        <v>75</v>
      </c>
      <c r="F2712" s="17" t="s">
        <v>86</v>
      </c>
      <c r="G2712" s="11" t="s">
        <v>103</v>
      </c>
      <c r="H2712" s="11" t="s">
        <v>125</v>
      </c>
      <c r="I2712" s="17" t="s">
        <v>296</v>
      </c>
      <c r="J2712" s="17">
        <v>17.069331552670999</v>
      </c>
      <c r="K2712" s="17">
        <v>-96.717682308836004</v>
      </c>
      <c r="L2712" s="17" t="str">
        <f>HYPERLINK("https://maps.google.com/?q=17.069331552671,-96.717682308836", "🔗 Ver Mapa")</f>
        <v>🔗 Ver Mapa</v>
      </c>
    </row>
    <row r="2713" spans="1:12" ht="43.5" x14ac:dyDescent="0.35">
      <c r="A2713" s="5" t="s">
        <v>1221</v>
      </c>
      <c r="B2713" s="5" t="s">
        <v>1222</v>
      </c>
      <c r="C2713" s="5" t="s">
        <v>1397</v>
      </c>
      <c r="D2713" s="8" t="s">
        <v>67</v>
      </c>
      <c r="E2713" s="16" t="s">
        <v>75</v>
      </c>
      <c r="F2713" s="16" t="s">
        <v>86</v>
      </c>
      <c r="G2713" s="8" t="s">
        <v>103</v>
      </c>
      <c r="H2713" s="8" t="s">
        <v>125</v>
      </c>
      <c r="I2713" s="16" t="s">
        <v>296</v>
      </c>
      <c r="J2713" s="16">
        <v>17.070530246135</v>
      </c>
      <c r="K2713" s="16">
        <v>-96.715681380910993</v>
      </c>
      <c r="L2713" s="16" t="str">
        <f>HYPERLINK("https://maps.google.com/?q=17.070530246135,-96.715681380911", "🔗 Ver Mapa")</f>
        <v>🔗 Ver Mapa</v>
      </c>
    </row>
    <row r="2714" spans="1:12" ht="43.5" x14ac:dyDescent="0.35">
      <c r="A2714" s="6" t="s">
        <v>1221</v>
      </c>
      <c r="B2714" s="6" t="s">
        <v>1222</v>
      </c>
      <c r="C2714" s="6" t="s">
        <v>1397</v>
      </c>
      <c r="D2714" s="11" t="s">
        <v>67</v>
      </c>
      <c r="E2714" s="17" t="s">
        <v>75</v>
      </c>
      <c r="F2714" s="17" t="s">
        <v>86</v>
      </c>
      <c r="G2714" s="11" t="s">
        <v>103</v>
      </c>
      <c r="H2714" s="11" t="s">
        <v>125</v>
      </c>
      <c r="I2714" s="17" t="s">
        <v>296</v>
      </c>
      <c r="J2714" s="17">
        <v>17.070781522076999</v>
      </c>
      <c r="K2714" s="17">
        <v>-96.715670652075005</v>
      </c>
      <c r="L2714" s="17" t="str">
        <f>HYPERLINK("https://maps.google.com/?q=17.070781522077,-96.715670652075", "🔗 Ver Mapa")</f>
        <v>🔗 Ver Mapa</v>
      </c>
    </row>
    <row r="2715" spans="1:12" ht="43.5" x14ac:dyDescent="0.35">
      <c r="A2715" s="5" t="s">
        <v>1221</v>
      </c>
      <c r="B2715" s="5" t="s">
        <v>1222</v>
      </c>
      <c r="C2715" s="5" t="s">
        <v>1397</v>
      </c>
      <c r="D2715" s="8" t="s">
        <v>67</v>
      </c>
      <c r="E2715" s="16" t="s">
        <v>75</v>
      </c>
      <c r="F2715" s="16" t="s">
        <v>86</v>
      </c>
      <c r="G2715" s="8" t="s">
        <v>103</v>
      </c>
      <c r="H2715" s="8" t="s">
        <v>125</v>
      </c>
      <c r="I2715" s="16" t="s">
        <v>296</v>
      </c>
      <c r="J2715" s="16">
        <v>17.071062744487001</v>
      </c>
      <c r="K2715" s="16">
        <v>-96.716706686360993</v>
      </c>
      <c r="L2715" s="16" t="str">
        <f>HYPERLINK("https://maps.google.com/?q=17.071062744487,-96.716706686361", "🔗 Ver Mapa")</f>
        <v>🔗 Ver Mapa</v>
      </c>
    </row>
    <row r="2716" spans="1:12" ht="43.5" x14ac:dyDescent="0.35">
      <c r="A2716" s="6" t="s">
        <v>1221</v>
      </c>
      <c r="B2716" s="6" t="s">
        <v>1222</v>
      </c>
      <c r="C2716" s="6" t="s">
        <v>1397</v>
      </c>
      <c r="D2716" s="11" t="s">
        <v>67</v>
      </c>
      <c r="E2716" s="17" t="s">
        <v>75</v>
      </c>
      <c r="F2716" s="17" t="s">
        <v>86</v>
      </c>
      <c r="G2716" s="11" t="s">
        <v>103</v>
      </c>
      <c r="H2716" s="11" t="s">
        <v>125</v>
      </c>
      <c r="I2716" s="17" t="s">
        <v>296</v>
      </c>
      <c r="J2716" s="17">
        <v>17.073125038548</v>
      </c>
      <c r="K2716" s="17">
        <v>-96.715372926873997</v>
      </c>
      <c r="L2716" s="17" t="str">
        <f>HYPERLINK("https://maps.google.com/?q=17.073125038548,-96.715372926874", "🔗 Ver Mapa")</f>
        <v>🔗 Ver Mapa</v>
      </c>
    </row>
    <row r="2717" spans="1:12" ht="43.5" x14ac:dyDescent="0.35">
      <c r="A2717" s="5" t="s">
        <v>1221</v>
      </c>
      <c r="B2717" s="5" t="s">
        <v>1222</v>
      </c>
      <c r="C2717" s="5" t="s">
        <v>1397</v>
      </c>
      <c r="D2717" s="8" t="s">
        <v>67</v>
      </c>
      <c r="E2717" s="16" t="s">
        <v>75</v>
      </c>
      <c r="F2717" s="16" t="s">
        <v>86</v>
      </c>
      <c r="G2717" s="8" t="s">
        <v>103</v>
      </c>
      <c r="H2717" s="8" t="s">
        <v>125</v>
      </c>
      <c r="I2717" s="16" t="s">
        <v>296</v>
      </c>
      <c r="J2717" s="16">
        <v>17.074083974438</v>
      </c>
      <c r="K2717" s="16">
        <v>-96.715128845853997</v>
      </c>
      <c r="L2717" s="16" t="str">
        <f>HYPERLINK("https://maps.google.com/?q=17.074083974438,-96.715128845854", "🔗 Ver Mapa")</f>
        <v>🔗 Ver Mapa</v>
      </c>
    </row>
    <row r="2718" spans="1:12" ht="43.5" x14ac:dyDescent="0.35">
      <c r="A2718" s="6" t="s">
        <v>1221</v>
      </c>
      <c r="B2718" s="6" t="s">
        <v>1222</v>
      </c>
      <c r="C2718" s="6" t="s">
        <v>1397</v>
      </c>
      <c r="D2718" s="11" t="s">
        <v>67</v>
      </c>
      <c r="E2718" s="17" t="s">
        <v>75</v>
      </c>
      <c r="F2718" s="17" t="s">
        <v>86</v>
      </c>
      <c r="G2718" s="11" t="s">
        <v>103</v>
      </c>
      <c r="H2718" s="11" t="s">
        <v>125</v>
      </c>
      <c r="I2718" s="17" t="s">
        <v>296</v>
      </c>
      <c r="J2718" s="17">
        <v>17.074267760251999</v>
      </c>
      <c r="K2718" s="17">
        <v>-96.716298990590005</v>
      </c>
      <c r="L2718" s="17" t="str">
        <f>HYPERLINK("https://maps.google.com/?q=17.074267760252,-96.71629899059", "🔗 Ver Mapa")</f>
        <v>🔗 Ver Mapa</v>
      </c>
    </row>
    <row r="2719" spans="1:12" ht="43.5" x14ac:dyDescent="0.35">
      <c r="A2719" s="5" t="s">
        <v>1221</v>
      </c>
      <c r="B2719" s="5" t="s">
        <v>1222</v>
      </c>
      <c r="C2719" s="5" t="s">
        <v>1397</v>
      </c>
      <c r="D2719" s="8" t="s">
        <v>67</v>
      </c>
      <c r="E2719" s="16" t="s">
        <v>75</v>
      </c>
      <c r="F2719" s="16" t="s">
        <v>86</v>
      </c>
      <c r="G2719" s="8" t="s">
        <v>103</v>
      </c>
      <c r="H2719" s="8" t="s">
        <v>125</v>
      </c>
      <c r="I2719" s="16" t="s">
        <v>296</v>
      </c>
      <c r="J2719" s="16">
        <v>17.075431808346</v>
      </c>
      <c r="K2719" s="16">
        <v>-96.716148786885</v>
      </c>
      <c r="L2719" s="16" t="str">
        <f>HYPERLINK("https://maps.google.com/?q=17.075431808346,-96.716148786885", "🔗 Ver Mapa")</f>
        <v>🔗 Ver Mapa</v>
      </c>
    </row>
    <row r="2720" spans="1:12" ht="43.5" x14ac:dyDescent="0.35">
      <c r="A2720" s="6" t="s">
        <v>1221</v>
      </c>
      <c r="B2720" s="6" t="s">
        <v>1222</v>
      </c>
      <c r="C2720" s="6" t="s">
        <v>1397</v>
      </c>
      <c r="D2720" s="11" t="s">
        <v>67</v>
      </c>
      <c r="E2720" s="17" t="s">
        <v>75</v>
      </c>
      <c r="F2720" s="17" t="s">
        <v>86</v>
      </c>
      <c r="G2720" s="11" t="s">
        <v>103</v>
      </c>
      <c r="H2720" s="11" t="s">
        <v>125</v>
      </c>
      <c r="I2720" s="17" t="s">
        <v>296</v>
      </c>
      <c r="J2720" s="17">
        <v>17.076237716219001</v>
      </c>
      <c r="K2720" s="17">
        <v>-96.714868671578998</v>
      </c>
      <c r="L2720" s="17" t="str">
        <f>HYPERLINK("https://maps.google.com/?q=17.076237716219,-96.714868671579", "🔗 Ver Mapa")</f>
        <v>🔗 Ver Mapa</v>
      </c>
    </row>
    <row r="2721" spans="1:12" ht="43.5" x14ac:dyDescent="0.35">
      <c r="A2721" s="5" t="s">
        <v>1221</v>
      </c>
      <c r="B2721" s="5" t="s">
        <v>1222</v>
      </c>
      <c r="C2721" s="5" t="s">
        <v>1397</v>
      </c>
      <c r="D2721" s="8" t="s">
        <v>67</v>
      </c>
      <c r="E2721" s="16" t="s">
        <v>75</v>
      </c>
      <c r="F2721" s="16" t="s">
        <v>86</v>
      </c>
      <c r="G2721" s="8" t="s">
        <v>103</v>
      </c>
      <c r="H2721" s="8" t="s">
        <v>125</v>
      </c>
      <c r="I2721" s="16" t="s">
        <v>296</v>
      </c>
      <c r="J2721" s="16">
        <v>17.076447139519001</v>
      </c>
      <c r="K2721" s="16">
        <v>-96.715955667835999</v>
      </c>
      <c r="L2721" s="16" t="str">
        <f>HYPERLINK("https://maps.google.com/?q=17.076447139519,-96.715955667836", "🔗 Ver Mapa")</f>
        <v>🔗 Ver Mapa</v>
      </c>
    </row>
    <row r="2722" spans="1:12" ht="43.5" x14ac:dyDescent="0.35">
      <c r="A2722" s="6" t="s">
        <v>1221</v>
      </c>
      <c r="B2722" s="6" t="s">
        <v>1222</v>
      </c>
      <c r="C2722" s="6" t="s">
        <v>1397</v>
      </c>
      <c r="D2722" s="11" t="s">
        <v>67</v>
      </c>
      <c r="E2722" s="17" t="s">
        <v>75</v>
      </c>
      <c r="F2722" s="17" t="s">
        <v>86</v>
      </c>
      <c r="G2722" s="11" t="s">
        <v>103</v>
      </c>
      <c r="H2722" s="11" t="s">
        <v>125</v>
      </c>
      <c r="I2722" s="17" t="s">
        <v>296</v>
      </c>
      <c r="J2722" s="17">
        <v>17.078401688867</v>
      </c>
      <c r="K2722" s="17">
        <v>-96.714536077660995</v>
      </c>
      <c r="L2722" s="17" t="str">
        <f>HYPERLINK("https://maps.google.com/?q=17.078401688867,-96.714536077661", "🔗 Ver Mapa")</f>
        <v>🔗 Ver Mapa</v>
      </c>
    </row>
    <row r="2723" spans="1:12" ht="43.5" x14ac:dyDescent="0.35">
      <c r="A2723" s="5" t="s">
        <v>1221</v>
      </c>
      <c r="B2723" s="5" t="s">
        <v>1222</v>
      </c>
      <c r="C2723" s="5" t="s">
        <v>1397</v>
      </c>
      <c r="D2723" s="8" t="s">
        <v>67</v>
      </c>
      <c r="E2723" s="16" t="s">
        <v>75</v>
      </c>
      <c r="F2723" s="16" t="s">
        <v>86</v>
      </c>
      <c r="G2723" s="8" t="s">
        <v>103</v>
      </c>
      <c r="H2723" s="8" t="s">
        <v>125</v>
      </c>
      <c r="I2723" s="16" t="s">
        <v>296</v>
      </c>
      <c r="J2723" s="16">
        <v>17.078708539084001</v>
      </c>
      <c r="K2723" s="16">
        <v>-96.715692811352994</v>
      </c>
      <c r="L2723" s="16" t="str">
        <f>HYPERLINK("https://maps.google.com/?q=17.078708539084,-96.715692811353", "🔗 Ver Mapa")</f>
        <v>🔗 Ver Mapa</v>
      </c>
    </row>
    <row r="2724" spans="1:12" ht="43.5" x14ac:dyDescent="0.35">
      <c r="A2724" s="6" t="s">
        <v>1221</v>
      </c>
      <c r="B2724" s="6" t="s">
        <v>1222</v>
      </c>
      <c r="C2724" s="6" t="s">
        <v>1397</v>
      </c>
      <c r="D2724" s="11" t="s">
        <v>67</v>
      </c>
      <c r="E2724" s="17" t="s">
        <v>75</v>
      </c>
      <c r="F2724" s="17" t="s">
        <v>86</v>
      </c>
      <c r="G2724" s="11" t="s">
        <v>103</v>
      </c>
      <c r="H2724" s="11" t="s">
        <v>125</v>
      </c>
      <c r="I2724" s="17" t="s">
        <v>296</v>
      </c>
      <c r="J2724" s="17">
        <v>17.081693750755999</v>
      </c>
      <c r="K2724" s="17">
        <v>-96.714139110727004</v>
      </c>
      <c r="L2724" s="17" t="str">
        <f>HYPERLINK("https://maps.google.com/?q=17.081693750756,-96.714139110727", "🔗 Ver Mapa")</f>
        <v>🔗 Ver Mapa</v>
      </c>
    </row>
    <row r="2725" spans="1:12" ht="43.5" x14ac:dyDescent="0.35">
      <c r="A2725" s="5" t="s">
        <v>1221</v>
      </c>
      <c r="B2725" s="5" t="s">
        <v>1222</v>
      </c>
      <c r="C2725" s="5" t="s">
        <v>1397</v>
      </c>
      <c r="D2725" s="8" t="s">
        <v>67</v>
      </c>
      <c r="E2725" s="16" t="s">
        <v>75</v>
      </c>
      <c r="F2725" s="16" t="s">
        <v>86</v>
      </c>
      <c r="G2725" s="8" t="s">
        <v>103</v>
      </c>
      <c r="H2725" s="8" t="s">
        <v>125</v>
      </c>
      <c r="I2725" s="16" t="s">
        <v>296</v>
      </c>
      <c r="J2725" s="16">
        <v>17.082439019251002</v>
      </c>
      <c r="K2725" s="16">
        <v>-96.715269022328997</v>
      </c>
      <c r="L2725" s="16" t="str">
        <f>HYPERLINK("https://maps.google.com/?q=17.082439019251,-96.715269022329", "🔗 Ver Mapa")</f>
        <v>🔗 Ver Mapa</v>
      </c>
    </row>
    <row r="2726" spans="1:12" ht="43.5" x14ac:dyDescent="0.35">
      <c r="A2726" s="6" t="s">
        <v>1221</v>
      </c>
      <c r="B2726" s="6" t="s">
        <v>1222</v>
      </c>
      <c r="C2726" s="6" t="s">
        <v>1397</v>
      </c>
      <c r="D2726" s="11" t="s">
        <v>67</v>
      </c>
      <c r="E2726" s="17" t="s">
        <v>75</v>
      </c>
      <c r="F2726" s="17" t="s">
        <v>86</v>
      </c>
      <c r="G2726" s="11" t="s">
        <v>103</v>
      </c>
      <c r="H2726" s="11" t="s">
        <v>125</v>
      </c>
      <c r="I2726" s="17" t="s">
        <v>296</v>
      </c>
      <c r="J2726" s="17">
        <v>17.083470517018</v>
      </c>
      <c r="K2726" s="17">
        <v>-96.713874913138994</v>
      </c>
      <c r="L2726" s="17" t="str">
        <f>HYPERLINK("https://maps.google.com/?q=17.083470517018,-96.713874913139", "🔗 Ver Mapa")</f>
        <v>🔗 Ver Mapa</v>
      </c>
    </row>
    <row r="2727" spans="1:12" ht="43.5" x14ac:dyDescent="0.35">
      <c r="A2727" s="5" t="s">
        <v>1221</v>
      </c>
      <c r="B2727" s="5" t="s">
        <v>1222</v>
      </c>
      <c r="C2727" s="5" t="s">
        <v>1397</v>
      </c>
      <c r="D2727" s="8" t="s">
        <v>67</v>
      </c>
      <c r="E2727" s="16" t="s">
        <v>75</v>
      </c>
      <c r="F2727" s="16" t="s">
        <v>86</v>
      </c>
      <c r="G2727" s="8" t="s">
        <v>103</v>
      </c>
      <c r="H2727" s="8" t="s">
        <v>125</v>
      </c>
      <c r="I2727" s="16" t="s">
        <v>296</v>
      </c>
      <c r="J2727" s="16">
        <v>17.083556866816</v>
      </c>
      <c r="K2727" s="16">
        <v>-96.714048617226993</v>
      </c>
      <c r="L2727" s="16" t="str">
        <f>HYPERLINK("https://maps.google.com/?q=17.083556866816,-96.714048617227", "🔗 Ver Mapa")</f>
        <v>🔗 Ver Mapa</v>
      </c>
    </row>
    <row r="2728" spans="1:12" ht="43.5" x14ac:dyDescent="0.35">
      <c r="A2728" s="6" t="s">
        <v>1221</v>
      </c>
      <c r="B2728" s="6" t="s">
        <v>1222</v>
      </c>
      <c r="C2728" s="6" t="s">
        <v>1397</v>
      </c>
      <c r="D2728" s="11" t="s">
        <v>67</v>
      </c>
      <c r="E2728" s="17" t="s">
        <v>75</v>
      </c>
      <c r="F2728" s="17" t="s">
        <v>86</v>
      </c>
      <c r="G2728" s="11" t="s">
        <v>103</v>
      </c>
      <c r="H2728" s="11" t="s">
        <v>125</v>
      </c>
      <c r="I2728" s="17" t="s">
        <v>296</v>
      </c>
      <c r="J2728" s="17">
        <v>17.083574813855002</v>
      </c>
      <c r="K2728" s="17">
        <v>-96.713960104329004</v>
      </c>
      <c r="L2728" s="17" t="str">
        <f>HYPERLINK("https://maps.google.com/?q=17.083574813855,-96.713960104329", "🔗 Ver Mapa")</f>
        <v>🔗 Ver Mapa</v>
      </c>
    </row>
    <row r="2729" spans="1:12" ht="43.5" x14ac:dyDescent="0.35">
      <c r="A2729" s="5" t="s">
        <v>1221</v>
      </c>
      <c r="B2729" s="5" t="s">
        <v>1222</v>
      </c>
      <c r="C2729" s="5" t="s">
        <v>1397</v>
      </c>
      <c r="D2729" s="8" t="s">
        <v>67</v>
      </c>
      <c r="E2729" s="16" t="s">
        <v>75</v>
      </c>
      <c r="F2729" s="16" t="s">
        <v>86</v>
      </c>
      <c r="G2729" s="8" t="s">
        <v>103</v>
      </c>
      <c r="H2729" s="8" t="s">
        <v>125</v>
      </c>
      <c r="I2729" s="16" t="s">
        <v>296</v>
      </c>
      <c r="J2729" s="16">
        <v>17.083595324754999</v>
      </c>
      <c r="K2729" s="16">
        <v>-96.715121500833007</v>
      </c>
      <c r="L2729" s="16" t="str">
        <f>HYPERLINK("https://maps.google.com/?q=17.083595324755,-96.715121500833", "🔗 Ver Mapa")</f>
        <v>🔗 Ver Mapa</v>
      </c>
    </row>
    <row r="2730" spans="1:12" ht="43.5" x14ac:dyDescent="0.35">
      <c r="A2730" s="6" t="s">
        <v>1221</v>
      </c>
      <c r="B2730" s="6" t="s">
        <v>1222</v>
      </c>
      <c r="C2730" s="6" t="s">
        <v>1397</v>
      </c>
      <c r="D2730" s="11" t="s">
        <v>67</v>
      </c>
      <c r="E2730" s="17" t="s">
        <v>75</v>
      </c>
      <c r="F2730" s="17" t="s">
        <v>86</v>
      </c>
      <c r="G2730" s="11" t="s">
        <v>103</v>
      </c>
      <c r="H2730" s="11" t="s">
        <v>125</v>
      </c>
      <c r="I2730" s="17" t="s">
        <v>296</v>
      </c>
      <c r="J2730" s="17">
        <v>17.083713262385999</v>
      </c>
      <c r="K2730" s="17">
        <v>-96.715057127815996</v>
      </c>
      <c r="L2730" s="17" t="str">
        <f>HYPERLINK("https://maps.google.com/?q=17.083713262386,-96.715057127816", "🔗 Ver Mapa")</f>
        <v>🔗 Ver Mapa</v>
      </c>
    </row>
    <row r="2731" spans="1:12" ht="43.5" x14ac:dyDescent="0.35">
      <c r="A2731" s="5" t="s">
        <v>1221</v>
      </c>
      <c r="B2731" s="5" t="s">
        <v>1222</v>
      </c>
      <c r="C2731" s="5" t="s">
        <v>1397</v>
      </c>
      <c r="D2731" s="8" t="s">
        <v>67</v>
      </c>
      <c r="E2731" s="16" t="s">
        <v>75</v>
      </c>
      <c r="F2731" s="16" t="s">
        <v>86</v>
      </c>
      <c r="G2731" s="8" t="s">
        <v>103</v>
      </c>
      <c r="H2731" s="8" t="s">
        <v>125</v>
      </c>
      <c r="I2731" s="16" t="s">
        <v>296</v>
      </c>
      <c r="J2731" s="16">
        <v>17.084890892297999</v>
      </c>
      <c r="K2731" s="16">
        <v>-96.712743020934994</v>
      </c>
      <c r="L2731" s="16" t="str">
        <f>HYPERLINK("https://maps.google.com/?q=17.084890892298,-96.712743020935", "🔗 Ver Mapa")</f>
        <v>🔗 Ver Mapa</v>
      </c>
    </row>
    <row r="2732" spans="1:12" ht="43.5" x14ac:dyDescent="0.35">
      <c r="A2732" s="6" t="s">
        <v>1221</v>
      </c>
      <c r="B2732" s="6" t="s">
        <v>1222</v>
      </c>
      <c r="C2732" s="6" t="s">
        <v>1397</v>
      </c>
      <c r="D2732" s="11" t="s">
        <v>67</v>
      </c>
      <c r="E2732" s="17" t="s">
        <v>75</v>
      </c>
      <c r="F2732" s="17" t="s">
        <v>86</v>
      </c>
      <c r="G2732" s="11" t="s">
        <v>103</v>
      </c>
      <c r="H2732" s="11" t="s">
        <v>125</v>
      </c>
      <c r="I2732" s="17" t="s">
        <v>296</v>
      </c>
      <c r="J2732" s="17">
        <v>17.085005443711999</v>
      </c>
      <c r="K2732" s="17">
        <v>-96.712825529916003</v>
      </c>
      <c r="L2732" s="17" t="str">
        <f>HYPERLINK("https://maps.google.com/?q=17.085005443712,-96.712825529916", "🔗 Ver Mapa")</f>
        <v>🔗 Ver Mapa</v>
      </c>
    </row>
    <row r="2733" spans="1:12" ht="43.5" x14ac:dyDescent="0.35">
      <c r="A2733" s="5" t="s">
        <v>1221</v>
      </c>
      <c r="B2733" s="5" t="s">
        <v>1222</v>
      </c>
      <c r="C2733" s="5" t="s">
        <v>1397</v>
      </c>
      <c r="D2733" s="8" t="s">
        <v>67</v>
      </c>
      <c r="E2733" s="16" t="s">
        <v>75</v>
      </c>
      <c r="F2733" s="16" t="s">
        <v>86</v>
      </c>
      <c r="G2733" s="8" t="s">
        <v>103</v>
      </c>
      <c r="H2733" s="8" t="s">
        <v>125</v>
      </c>
      <c r="I2733" s="16" t="s">
        <v>296</v>
      </c>
      <c r="J2733" s="16">
        <v>17.085983086868001</v>
      </c>
      <c r="K2733" s="16">
        <v>-96.712085879726004</v>
      </c>
      <c r="L2733" s="16" t="str">
        <f>HYPERLINK("https://maps.google.com/?q=17.085983086868,-96.712085879726", "🔗 Ver Mapa")</f>
        <v>🔗 Ver Mapa</v>
      </c>
    </row>
    <row r="2734" spans="1:12" ht="43.5" x14ac:dyDescent="0.35">
      <c r="A2734" s="6" t="s">
        <v>1221</v>
      </c>
      <c r="B2734" s="6" t="s">
        <v>1222</v>
      </c>
      <c r="C2734" s="6" t="s">
        <v>1397</v>
      </c>
      <c r="D2734" s="11" t="s">
        <v>67</v>
      </c>
      <c r="E2734" s="17" t="s">
        <v>75</v>
      </c>
      <c r="F2734" s="17" t="s">
        <v>86</v>
      </c>
      <c r="G2734" s="11" t="s">
        <v>103</v>
      </c>
      <c r="H2734" s="11" t="s">
        <v>125</v>
      </c>
      <c r="I2734" s="17" t="s">
        <v>296</v>
      </c>
      <c r="J2734" s="17">
        <v>17.086033541900999</v>
      </c>
      <c r="K2734" s="17">
        <v>-96.712219350679007</v>
      </c>
      <c r="L2734" s="17" t="str">
        <f>HYPERLINK("https://maps.google.com/?q=17.086033541901,-96.712219350679", "🔗 Ver Mapa")</f>
        <v>🔗 Ver Mapa</v>
      </c>
    </row>
    <row r="2735" spans="1:12" ht="29" x14ac:dyDescent="0.35">
      <c r="A2735" s="5" t="s">
        <v>1221</v>
      </c>
      <c r="B2735" s="5" t="s">
        <v>1222</v>
      </c>
      <c r="C2735" s="5" t="s">
        <v>1398</v>
      </c>
      <c r="D2735" s="8" t="s">
        <v>67</v>
      </c>
      <c r="E2735" s="16" t="s">
        <v>75</v>
      </c>
      <c r="F2735" s="16" t="s">
        <v>86</v>
      </c>
      <c r="G2735" s="8" t="s">
        <v>557</v>
      </c>
      <c r="H2735" s="8" t="s">
        <v>558</v>
      </c>
      <c r="I2735" s="16" t="s">
        <v>296</v>
      </c>
      <c r="J2735" s="16">
        <v>17.060561076342001</v>
      </c>
      <c r="K2735" s="16">
        <v>-96.704793487442998</v>
      </c>
      <c r="L2735" s="16" t="str">
        <f>HYPERLINK("https://maps.google.com/?q=17.060561076342,-96.704793487443", "🔗 Ver Mapa")</f>
        <v>🔗 Ver Mapa</v>
      </c>
    </row>
    <row r="2736" spans="1:12" ht="29" x14ac:dyDescent="0.35">
      <c r="A2736" s="6" t="s">
        <v>1221</v>
      </c>
      <c r="B2736" s="6" t="s">
        <v>1222</v>
      </c>
      <c r="C2736" s="6" t="s">
        <v>1398</v>
      </c>
      <c r="D2736" s="11" t="s">
        <v>67</v>
      </c>
      <c r="E2736" s="17" t="s">
        <v>75</v>
      </c>
      <c r="F2736" s="17" t="s">
        <v>86</v>
      </c>
      <c r="G2736" s="11" t="s">
        <v>557</v>
      </c>
      <c r="H2736" s="11" t="s">
        <v>558</v>
      </c>
      <c r="I2736" s="17" t="s">
        <v>296</v>
      </c>
      <c r="J2736" s="17">
        <v>17.061489306799999</v>
      </c>
      <c r="K2736" s="17">
        <v>-96.704707656755005</v>
      </c>
      <c r="L2736" s="17" t="str">
        <f>HYPERLINK("https://maps.google.com/?q=17.0614893068,-96.704707656755", "🔗 Ver Mapa")</f>
        <v>🔗 Ver Mapa</v>
      </c>
    </row>
    <row r="2737" spans="1:12" ht="29" x14ac:dyDescent="0.35">
      <c r="A2737" s="5" t="s">
        <v>1221</v>
      </c>
      <c r="B2737" s="5" t="s">
        <v>1222</v>
      </c>
      <c r="C2737" s="5" t="s">
        <v>1398</v>
      </c>
      <c r="D2737" s="8" t="s">
        <v>67</v>
      </c>
      <c r="E2737" s="16" t="s">
        <v>75</v>
      </c>
      <c r="F2737" s="16" t="s">
        <v>86</v>
      </c>
      <c r="G2737" s="8" t="s">
        <v>557</v>
      </c>
      <c r="H2737" s="8" t="s">
        <v>558</v>
      </c>
      <c r="I2737" s="16" t="s">
        <v>296</v>
      </c>
      <c r="J2737" s="16">
        <v>17.062388044875998</v>
      </c>
      <c r="K2737" s="16">
        <v>-96.709477965488006</v>
      </c>
      <c r="L2737" s="16" t="str">
        <f>HYPERLINK("https://maps.google.com/?q=17.062388044876,-96.709477965488", "🔗 Ver Mapa")</f>
        <v>🔗 Ver Mapa</v>
      </c>
    </row>
    <row r="2738" spans="1:12" ht="29" x14ac:dyDescent="0.35">
      <c r="A2738" s="6" t="s">
        <v>1221</v>
      </c>
      <c r="B2738" s="6" t="s">
        <v>1222</v>
      </c>
      <c r="C2738" s="6" t="s">
        <v>1398</v>
      </c>
      <c r="D2738" s="11" t="s">
        <v>67</v>
      </c>
      <c r="E2738" s="17" t="s">
        <v>75</v>
      </c>
      <c r="F2738" s="17" t="s">
        <v>86</v>
      </c>
      <c r="G2738" s="11" t="s">
        <v>557</v>
      </c>
      <c r="H2738" s="11" t="s">
        <v>558</v>
      </c>
      <c r="I2738" s="17" t="s">
        <v>296</v>
      </c>
      <c r="J2738" s="17">
        <v>17.062420096796</v>
      </c>
      <c r="K2738" s="17">
        <v>-96.704635237111006</v>
      </c>
      <c r="L2738" s="17" t="str">
        <f>HYPERLINK("https://maps.google.com/?q=17.062420096796,-96.704635237111", "🔗 Ver Mapa")</f>
        <v>🔗 Ver Mapa</v>
      </c>
    </row>
    <row r="2739" spans="1:12" ht="29" x14ac:dyDescent="0.35">
      <c r="A2739" s="5" t="s">
        <v>1221</v>
      </c>
      <c r="B2739" s="5" t="s">
        <v>1222</v>
      </c>
      <c r="C2739" s="5" t="s">
        <v>1398</v>
      </c>
      <c r="D2739" s="8" t="s">
        <v>67</v>
      </c>
      <c r="E2739" s="16" t="s">
        <v>75</v>
      </c>
      <c r="F2739" s="16" t="s">
        <v>86</v>
      </c>
      <c r="G2739" s="8" t="s">
        <v>557</v>
      </c>
      <c r="H2739" s="8" t="s">
        <v>558</v>
      </c>
      <c r="I2739" s="16" t="s">
        <v>296</v>
      </c>
      <c r="J2739" s="16">
        <v>17.062437400686999</v>
      </c>
      <c r="K2739" s="16">
        <v>-96.709482460906997</v>
      </c>
      <c r="L2739" s="16" t="str">
        <f>HYPERLINK("https://maps.google.com/?q=17.062437400687,-96.709482460907", "🔗 Ver Mapa")</f>
        <v>🔗 Ver Mapa</v>
      </c>
    </row>
    <row r="2740" spans="1:12" ht="29" x14ac:dyDescent="0.35">
      <c r="A2740" s="6" t="s">
        <v>1221</v>
      </c>
      <c r="B2740" s="6" t="s">
        <v>1222</v>
      </c>
      <c r="C2740" s="6" t="s">
        <v>1398</v>
      </c>
      <c r="D2740" s="11" t="s">
        <v>67</v>
      </c>
      <c r="E2740" s="17" t="s">
        <v>75</v>
      </c>
      <c r="F2740" s="17" t="s">
        <v>86</v>
      </c>
      <c r="G2740" s="11" t="s">
        <v>557</v>
      </c>
      <c r="H2740" s="11" t="s">
        <v>558</v>
      </c>
      <c r="I2740" s="17" t="s">
        <v>296</v>
      </c>
      <c r="J2740" s="17">
        <v>17.062634203479998</v>
      </c>
      <c r="K2740" s="17">
        <v>-96.708705489291006</v>
      </c>
      <c r="L2740" s="17" t="str">
        <f>HYPERLINK("https://maps.google.com/?q=17.06263420348,-96.708705489291", "🔗 Ver Mapa")</f>
        <v>🔗 Ver Mapa</v>
      </c>
    </row>
    <row r="2741" spans="1:12" ht="29" x14ac:dyDescent="0.35">
      <c r="A2741" s="5" t="s">
        <v>1221</v>
      </c>
      <c r="B2741" s="5" t="s">
        <v>1222</v>
      </c>
      <c r="C2741" s="5" t="s">
        <v>1398</v>
      </c>
      <c r="D2741" s="8" t="s">
        <v>67</v>
      </c>
      <c r="E2741" s="16" t="s">
        <v>75</v>
      </c>
      <c r="F2741" s="16" t="s">
        <v>86</v>
      </c>
      <c r="G2741" s="8" t="s">
        <v>557</v>
      </c>
      <c r="H2741" s="8" t="s">
        <v>558</v>
      </c>
      <c r="I2741" s="16" t="s">
        <v>296</v>
      </c>
      <c r="J2741" s="16">
        <v>17.062704072422999</v>
      </c>
      <c r="K2741" s="16">
        <v>-96.708731442382998</v>
      </c>
      <c r="L2741" s="16" t="str">
        <f>HYPERLINK("https://maps.google.com/?q=17.062704072423,-96.708731442383", "🔗 Ver Mapa")</f>
        <v>🔗 Ver Mapa</v>
      </c>
    </row>
    <row r="2742" spans="1:12" ht="29" x14ac:dyDescent="0.35">
      <c r="A2742" s="6" t="s">
        <v>1221</v>
      </c>
      <c r="B2742" s="6" t="s">
        <v>1222</v>
      </c>
      <c r="C2742" s="6" t="s">
        <v>1398</v>
      </c>
      <c r="D2742" s="11" t="s">
        <v>67</v>
      </c>
      <c r="E2742" s="17" t="s">
        <v>75</v>
      </c>
      <c r="F2742" s="17" t="s">
        <v>86</v>
      </c>
      <c r="G2742" s="11" t="s">
        <v>557</v>
      </c>
      <c r="H2742" s="11" t="s">
        <v>558</v>
      </c>
      <c r="I2742" s="17" t="s">
        <v>296</v>
      </c>
      <c r="J2742" s="17">
        <v>17.062886126948001</v>
      </c>
      <c r="K2742" s="17">
        <v>-96.707940190722994</v>
      </c>
      <c r="L2742" s="17" t="str">
        <f>HYPERLINK("https://maps.google.com/?q=17.062886126948,-96.707940190723", "🔗 Ver Mapa")</f>
        <v>🔗 Ver Mapa</v>
      </c>
    </row>
    <row r="2743" spans="1:12" ht="29" x14ac:dyDescent="0.35">
      <c r="A2743" s="5" t="s">
        <v>1221</v>
      </c>
      <c r="B2743" s="5" t="s">
        <v>1222</v>
      </c>
      <c r="C2743" s="5" t="s">
        <v>1398</v>
      </c>
      <c r="D2743" s="8" t="s">
        <v>67</v>
      </c>
      <c r="E2743" s="16" t="s">
        <v>75</v>
      </c>
      <c r="F2743" s="16" t="s">
        <v>86</v>
      </c>
      <c r="G2743" s="8" t="s">
        <v>557</v>
      </c>
      <c r="H2743" s="8" t="s">
        <v>558</v>
      </c>
      <c r="I2743" s="16" t="s">
        <v>296</v>
      </c>
      <c r="J2743" s="16">
        <v>17.062917541889</v>
      </c>
      <c r="K2743" s="16">
        <v>-96.704589639557994</v>
      </c>
      <c r="L2743" s="16" t="str">
        <f>HYPERLINK("https://maps.google.com/?q=17.062917541889,-96.704589639558", "🔗 Ver Mapa")</f>
        <v>🔗 Ver Mapa</v>
      </c>
    </row>
    <row r="2744" spans="1:12" ht="29" x14ac:dyDescent="0.35">
      <c r="A2744" s="6" t="s">
        <v>1221</v>
      </c>
      <c r="B2744" s="6" t="s">
        <v>1222</v>
      </c>
      <c r="C2744" s="6" t="s">
        <v>1398</v>
      </c>
      <c r="D2744" s="11" t="s">
        <v>67</v>
      </c>
      <c r="E2744" s="17" t="s">
        <v>75</v>
      </c>
      <c r="F2744" s="17" t="s">
        <v>86</v>
      </c>
      <c r="G2744" s="11" t="s">
        <v>557</v>
      </c>
      <c r="H2744" s="11" t="s">
        <v>558</v>
      </c>
      <c r="I2744" s="17" t="s">
        <v>296</v>
      </c>
      <c r="J2744" s="17">
        <v>17.063239342001999</v>
      </c>
      <c r="K2744" s="17">
        <v>-96.706125204219006</v>
      </c>
      <c r="L2744" s="17" t="str">
        <f>HYPERLINK("https://maps.google.com/?q=17.063239342002,-96.706125204219", "🔗 Ver Mapa")</f>
        <v>🔗 Ver Mapa</v>
      </c>
    </row>
    <row r="2745" spans="1:12" ht="29" x14ac:dyDescent="0.35">
      <c r="A2745" s="5" t="s">
        <v>1221</v>
      </c>
      <c r="B2745" s="5" t="s">
        <v>1222</v>
      </c>
      <c r="C2745" s="5" t="s">
        <v>1398</v>
      </c>
      <c r="D2745" s="8" t="s">
        <v>67</v>
      </c>
      <c r="E2745" s="16" t="s">
        <v>75</v>
      </c>
      <c r="F2745" s="16" t="s">
        <v>86</v>
      </c>
      <c r="G2745" s="8" t="s">
        <v>557</v>
      </c>
      <c r="H2745" s="8" t="s">
        <v>558</v>
      </c>
      <c r="I2745" s="16" t="s">
        <v>296</v>
      </c>
      <c r="J2745" s="16">
        <v>17.063309210719002</v>
      </c>
      <c r="K2745" s="16">
        <v>-96.706148475101003</v>
      </c>
      <c r="L2745" s="16" t="str">
        <f>HYPERLINK("https://maps.google.com/?q=17.063309210719,-96.706148475101", "🔗 Ver Mapa")</f>
        <v>🔗 Ver Mapa</v>
      </c>
    </row>
    <row r="2746" spans="1:12" ht="29" x14ac:dyDescent="0.35">
      <c r="A2746" s="6" t="s">
        <v>1221</v>
      </c>
      <c r="B2746" s="6" t="s">
        <v>1222</v>
      </c>
      <c r="C2746" s="6" t="s">
        <v>1398</v>
      </c>
      <c r="D2746" s="11" t="s">
        <v>67</v>
      </c>
      <c r="E2746" s="17" t="s">
        <v>75</v>
      </c>
      <c r="F2746" s="17" t="s">
        <v>86</v>
      </c>
      <c r="G2746" s="11" t="s">
        <v>557</v>
      </c>
      <c r="H2746" s="11" t="s">
        <v>558</v>
      </c>
      <c r="I2746" s="17" t="s">
        <v>296</v>
      </c>
      <c r="J2746" s="17">
        <v>17.063567551906001</v>
      </c>
      <c r="K2746" s="17">
        <v>-96.704483692302006</v>
      </c>
      <c r="L2746" s="17" t="str">
        <f>HYPERLINK("https://maps.google.com/?q=17.063567551906,-96.704483692302", "🔗 Ver Mapa")</f>
        <v>🔗 Ver Mapa</v>
      </c>
    </row>
    <row r="2747" spans="1:12" ht="29" x14ac:dyDescent="0.35">
      <c r="A2747" s="5" t="s">
        <v>1221</v>
      </c>
      <c r="B2747" s="5" t="s">
        <v>1222</v>
      </c>
      <c r="C2747" s="5" t="s">
        <v>1398</v>
      </c>
      <c r="D2747" s="8" t="s">
        <v>67</v>
      </c>
      <c r="E2747" s="16" t="s">
        <v>75</v>
      </c>
      <c r="F2747" s="16" t="s">
        <v>86</v>
      </c>
      <c r="G2747" s="8" t="s">
        <v>557</v>
      </c>
      <c r="H2747" s="8" t="s">
        <v>558</v>
      </c>
      <c r="I2747" s="16" t="s">
        <v>296</v>
      </c>
      <c r="J2747" s="16">
        <v>17.063660497728002</v>
      </c>
      <c r="K2747" s="16">
        <v>-96.704490869929998</v>
      </c>
      <c r="L2747" s="16" t="str">
        <f>HYPERLINK("https://maps.google.com/?q=17.063660497728,-96.70449086993", "🔗 Ver Mapa")</f>
        <v>🔗 Ver Mapa</v>
      </c>
    </row>
    <row r="2748" spans="1:12" ht="29" x14ac:dyDescent="0.35">
      <c r="A2748" s="6" t="s">
        <v>1221</v>
      </c>
      <c r="B2748" s="6" t="s">
        <v>1222</v>
      </c>
      <c r="C2748" s="6" t="s">
        <v>1398</v>
      </c>
      <c r="D2748" s="11" t="s">
        <v>67</v>
      </c>
      <c r="E2748" s="17" t="s">
        <v>75</v>
      </c>
      <c r="F2748" s="17" t="s">
        <v>86</v>
      </c>
      <c r="G2748" s="11" t="s">
        <v>557</v>
      </c>
      <c r="H2748" s="11" t="s">
        <v>558</v>
      </c>
      <c r="I2748" s="17" t="s">
        <v>296</v>
      </c>
      <c r="J2748" s="17">
        <v>17.064119143961999</v>
      </c>
      <c r="K2748" s="17">
        <v>-96.702250799048002</v>
      </c>
      <c r="L2748" s="17" t="str">
        <f>HYPERLINK("https://maps.google.com/?q=17.064119143962,-96.702250799048", "🔗 Ver Mapa")</f>
        <v>🔗 Ver Mapa</v>
      </c>
    </row>
    <row r="2749" spans="1:12" ht="43.5" x14ac:dyDescent="0.35">
      <c r="A2749" s="5" t="s">
        <v>2</v>
      </c>
      <c r="B2749" s="5" t="s">
        <v>15</v>
      </c>
      <c r="C2749" s="5" t="s">
        <v>1399</v>
      </c>
      <c r="D2749" s="8" t="s">
        <v>62</v>
      </c>
      <c r="E2749" s="16" t="s">
        <v>75</v>
      </c>
      <c r="F2749" s="16" t="s">
        <v>86</v>
      </c>
      <c r="G2749" s="8" t="s">
        <v>103</v>
      </c>
      <c r="H2749" s="8" t="s">
        <v>125</v>
      </c>
      <c r="I2749" s="16" t="s">
        <v>138</v>
      </c>
      <c r="J2749" s="16">
        <v>17.049216000000001</v>
      </c>
      <c r="K2749" s="16">
        <v>-96.727602000000005</v>
      </c>
      <c r="L2749" s="16" t="str">
        <f>HYPERLINK("https://maps.google.com/?q=17.049216,-96.727602", "🔗 Ver Mapa")</f>
        <v>🔗 Ver Mapa</v>
      </c>
    </row>
    <row r="2750" spans="1:12" ht="58" x14ac:dyDescent="0.35">
      <c r="A2750" s="6" t="s">
        <v>564</v>
      </c>
      <c r="B2750" s="6" t="s">
        <v>565</v>
      </c>
      <c r="C2750" s="6" t="s">
        <v>1400</v>
      </c>
      <c r="D2750" s="11" t="s">
        <v>70</v>
      </c>
      <c r="E2750" s="17" t="s">
        <v>75</v>
      </c>
      <c r="F2750" s="17" t="s">
        <v>86</v>
      </c>
      <c r="G2750" s="11" t="s">
        <v>103</v>
      </c>
      <c r="H2750" s="11" t="s">
        <v>125</v>
      </c>
      <c r="I2750" s="17" t="s">
        <v>138</v>
      </c>
      <c r="J2750" s="17">
        <v>17.050591666667</v>
      </c>
      <c r="K2750" s="17">
        <v>-96.723063888889001</v>
      </c>
      <c r="L2750" s="17" t="str">
        <f>HYPERLINK("https://maps.google.com/?q=17.050591666667,-96.723063888889", "🔗 Ver Mapa")</f>
        <v>🔗 Ver Mapa</v>
      </c>
    </row>
    <row r="2751" spans="1:12" ht="43.5" x14ac:dyDescent="0.35">
      <c r="A2751" s="5" t="s">
        <v>1</v>
      </c>
      <c r="B2751" s="5" t="s">
        <v>14</v>
      </c>
      <c r="C2751" s="5" t="s">
        <v>1401</v>
      </c>
      <c r="D2751" s="8" t="s">
        <v>61</v>
      </c>
      <c r="E2751" s="16" t="s">
        <v>77</v>
      </c>
      <c r="F2751" s="16" t="s">
        <v>88</v>
      </c>
      <c r="G2751" s="8" t="s">
        <v>1402</v>
      </c>
      <c r="H2751" s="8" t="s">
        <v>1403</v>
      </c>
      <c r="I2751" s="16" t="s">
        <v>138</v>
      </c>
      <c r="J2751" s="16">
        <v>16.483699808122001</v>
      </c>
      <c r="K2751" s="16">
        <v>-95.036672927262998</v>
      </c>
      <c r="L2751" s="16" t="str">
        <f>HYPERLINK("https://maps.google.com/?q=16.483699808122,-95.036672927263", "🔗 Ver Mapa")</f>
        <v>🔗 Ver Mapa</v>
      </c>
    </row>
    <row r="2752" spans="1:12" ht="43.5" x14ac:dyDescent="0.35">
      <c r="A2752" s="6" t="s">
        <v>1</v>
      </c>
      <c r="B2752" s="6" t="s">
        <v>14</v>
      </c>
      <c r="C2752" s="6" t="s">
        <v>1404</v>
      </c>
      <c r="D2752" s="11" t="s">
        <v>61</v>
      </c>
      <c r="E2752" s="17" t="s">
        <v>74</v>
      </c>
      <c r="F2752" s="17" t="s">
        <v>89</v>
      </c>
      <c r="G2752" s="11" t="s">
        <v>108</v>
      </c>
      <c r="H2752" s="11" t="s">
        <v>130</v>
      </c>
      <c r="I2752" s="17" t="s">
        <v>138</v>
      </c>
      <c r="J2752" s="17">
        <v>15.706330762656</v>
      </c>
      <c r="K2752" s="17">
        <v>-96.486594026714997</v>
      </c>
      <c r="L2752" s="17" t="str">
        <f>HYPERLINK("https://maps.google.com/?q=15.706330762656,-96.486594026715", "🔗 Ver Mapa")</f>
        <v>🔗 Ver Mapa</v>
      </c>
    </row>
    <row r="2753" spans="1:12" ht="43.5" x14ac:dyDescent="0.35">
      <c r="A2753" s="5" t="s">
        <v>1</v>
      </c>
      <c r="B2753" s="5" t="s">
        <v>14</v>
      </c>
      <c r="C2753" s="5" t="s">
        <v>1405</v>
      </c>
      <c r="D2753" s="8" t="s">
        <v>61</v>
      </c>
      <c r="E2753" s="16" t="s">
        <v>75</v>
      </c>
      <c r="F2753" s="16" t="s">
        <v>87</v>
      </c>
      <c r="G2753" s="8" t="s">
        <v>105</v>
      </c>
      <c r="H2753" s="8" t="s">
        <v>127</v>
      </c>
      <c r="I2753" s="16" t="s">
        <v>138</v>
      </c>
      <c r="J2753" s="16">
        <v>17.246510135649</v>
      </c>
      <c r="K2753" s="16">
        <v>-96.888705809323994</v>
      </c>
      <c r="L2753" s="16" t="str">
        <f>HYPERLINK("https://maps.google.com/?q=17.246510135649,-96.888705809324", "🔗 Ver Mapa")</f>
        <v>🔗 Ver Mapa</v>
      </c>
    </row>
    <row r="2754" spans="1:12" ht="43.5" x14ac:dyDescent="0.35">
      <c r="A2754" s="6" t="s">
        <v>1</v>
      </c>
      <c r="B2754" s="6" t="s">
        <v>14</v>
      </c>
      <c r="C2754" s="6" t="s">
        <v>1406</v>
      </c>
      <c r="D2754" s="11" t="s">
        <v>61</v>
      </c>
      <c r="E2754" s="17" t="s">
        <v>73</v>
      </c>
      <c r="F2754" s="17" t="s">
        <v>187</v>
      </c>
      <c r="G2754" s="11" t="s">
        <v>1407</v>
      </c>
      <c r="H2754" s="11" t="s">
        <v>1408</v>
      </c>
      <c r="I2754" s="17" t="s">
        <v>138</v>
      </c>
      <c r="J2754" s="17">
        <v>17.173507606047998</v>
      </c>
      <c r="K2754" s="17">
        <v>-97.113047575975997</v>
      </c>
      <c r="L2754" s="17" t="str">
        <f>HYPERLINK("https://maps.google.com/?q=17.173507606048,-97.113047575976", "🔗 Ver Mapa")</f>
        <v>🔗 Ver Mapa</v>
      </c>
    </row>
    <row r="2755" spans="1:12" ht="58" x14ac:dyDescent="0.35">
      <c r="A2755" s="5" t="s">
        <v>1</v>
      </c>
      <c r="B2755" s="5" t="s">
        <v>14</v>
      </c>
      <c r="C2755" s="5" t="s">
        <v>1409</v>
      </c>
      <c r="D2755" s="8" t="s">
        <v>61</v>
      </c>
      <c r="E2755" s="16" t="s">
        <v>74</v>
      </c>
      <c r="F2755" s="16" t="s">
        <v>82</v>
      </c>
      <c r="G2755" s="8" t="s">
        <v>855</v>
      </c>
      <c r="H2755" s="8" t="s">
        <v>1410</v>
      </c>
      <c r="I2755" s="16" t="s">
        <v>138</v>
      </c>
      <c r="J2755" s="16">
        <v>16.173124000000001</v>
      </c>
      <c r="K2755" s="16">
        <v>-97.966200000000001</v>
      </c>
      <c r="L2755" s="16" t="str">
        <f>HYPERLINK("https://maps.google.com/?q=16.173124,-97.9662", "🔗 Ver Mapa")</f>
        <v>🔗 Ver Mapa</v>
      </c>
    </row>
    <row r="2756" spans="1:12" ht="58" x14ac:dyDescent="0.35">
      <c r="A2756" s="6" t="s">
        <v>1</v>
      </c>
      <c r="B2756" s="6" t="s">
        <v>14</v>
      </c>
      <c r="C2756" s="6" t="s">
        <v>1411</v>
      </c>
      <c r="D2756" s="11" t="s">
        <v>61</v>
      </c>
      <c r="E2756" s="17" t="s">
        <v>73</v>
      </c>
      <c r="F2756" s="17" t="s">
        <v>249</v>
      </c>
      <c r="G2756" s="11" t="s">
        <v>695</v>
      </c>
      <c r="H2756" s="11" t="s">
        <v>1412</v>
      </c>
      <c r="I2756" s="17" t="s">
        <v>138</v>
      </c>
      <c r="J2756" s="17">
        <v>17.750744715863998</v>
      </c>
      <c r="K2756" s="17">
        <v>-97.818521266020994</v>
      </c>
      <c r="L2756" s="17" t="str">
        <f>HYPERLINK("https://maps.google.com/?q=17.750744715864,-97.818521266021", "🔗 Ver Mapa")</f>
        <v>🔗 Ver Mapa</v>
      </c>
    </row>
    <row r="2757" spans="1:12" ht="58" x14ac:dyDescent="0.35">
      <c r="A2757" s="5" t="s">
        <v>1</v>
      </c>
      <c r="B2757" s="5" t="s">
        <v>14</v>
      </c>
      <c r="C2757" s="5" t="s">
        <v>1413</v>
      </c>
      <c r="D2757" s="8" t="s">
        <v>61</v>
      </c>
      <c r="E2757" s="16" t="s">
        <v>75</v>
      </c>
      <c r="F2757" s="16" t="s">
        <v>156</v>
      </c>
      <c r="G2757" s="8" t="s">
        <v>751</v>
      </c>
      <c r="H2757" s="8" t="s">
        <v>1414</v>
      </c>
      <c r="I2757" s="16" t="s">
        <v>138</v>
      </c>
      <c r="J2757" s="16">
        <v>16.646827999999999</v>
      </c>
      <c r="K2757" s="16">
        <v>-96.775625000000005</v>
      </c>
      <c r="L2757" s="16" t="str">
        <f>HYPERLINK("https://maps.google.com/?q=16.646828,-96.775625", "🔗 Ver Mapa")</f>
        <v>🔗 Ver Mapa</v>
      </c>
    </row>
    <row r="2758" spans="1:12" ht="43.5" x14ac:dyDescent="0.35">
      <c r="A2758" s="6" t="s">
        <v>1</v>
      </c>
      <c r="B2758" s="6" t="s">
        <v>14</v>
      </c>
      <c r="C2758" s="6" t="s">
        <v>1415</v>
      </c>
      <c r="D2758" s="11" t="s">
        <v>61</v>
      </c>
      <c r="E2758" s="17" t="s">
        <v>75</v>
      </c>
      <c r="F2758" s="17" t="s">
        <v>476</v>
      </c>
      <c r="G2758" s="11" t="s">
        <v>1262</v>
      </c>
      <c r="H2758" s="11" t="s">
        <v>1416</v>
      </c>
      <c r="I2758" s="17" t="s">
        <v>138</v>
      </c>
      <c r="J2758" s="17">
        <v>16.860938999999998</v>
      </c>
      <c r="K2758" s="17">
        <v>-96.816858999999994</v>
      </c>
      <c r="L2758" s="17" t="str">
        <f>HYPERLINK("https://maps.google.com/?q=16.860939,-96.816859", "🔗 Ver Mapa")</f>
        <v>🔗 Ver Mapa</v>
      </c>
    </row>
    <row r="2759" spans="1:12" ht="43.5" x14ac:dyDescent="0.35">
      <c r="A2759" s="5" t="s">
        <v>1</v>
      </c>
      <c r="B2759" s="5" t="s">
        <v>14</v>
      </c>
      <c r="C2759" s="5" t="s">
        <v>1417</v>
      </c>
      <c r="D2759" s="8" t="s">
        <v>61</v>
      </c>
      <c r="E2759" s="16" t="s">
        <v>74</v>
      </c>
      <c r="F2759" s="16" t="s">
        <v>82</v>
      </c>
      <c r="G2759" s="8" t="s">
        <v>855</v>
      </c>
      <c r="H2759" s="8" t="s">
        <v>1418</v>
      </c>
      <c r="I2759" s="16" t="s">
        <v>138</v>
      </c>
      <c r="J2759" s="16">
        <v>16.219408000000001</v>
      </c>
      <c r="K2759" s="16">
        <v>-97.958185999999998</v>
      </c>
      <c r="L2759" s="16" t="str">
        <f>HYPERLINK("https://maps.google.com/?q=16.219408,-97.958186", "🔗 Ver Mapa")</f>
        <v>🔗 Ver Mapa</v>
      </c>
    </row>
    <row r="2760" spans="1:12" ht="58" x14ac:dyDescent="0.35">
      <c r="A2760" s="6" t="s">
        <v>1</v>
      </c>
      <c r="B2760" s="6" t="s">
        <v>14</v>
      </c>
      <c r="C2760" s="6" t="s">
        <v>1419</v>
      </c>
      <c r="D2760" s="11" t="s">
        <v>61</v>
      </c>
      <c r="E2760" s="17" t="s">
        <v>77</v>
      </c>
      <c r="F2760" s="17" t="s">
        <v>201</v>
      </c>
      <c r="G2760" s="11" t="s">
        <v>1420</v>
      </c>
      <c r="H2760" s="11" t="s">
        <v>1421</v>
      </c>
      <c r="I2760" s="17" t="s">
        <v>138</v>
      </c>
      <c r="J2760" s="17">
        <v>16.218566808083001</v>
      </c>
      <c r="K2760" s="17">
        <v>-95.130875005964995</v>
      </c>
      <c r="L2760" s="17" t="str">
        <f>HYPERLINK("https://maps.google.com/?q=16.218566808083,-95.130875005965", "🔗 Ver Mapa")</f>
        <v>🔗 Ver Mapa</v>
      </c>
    </row>
    <row r="2761" spans="1:12" ht="43.5" x14ac:dyDescent="0.35">
      <c r="A2761" s="5" t="s">
        <v>4</v>
      </c>
      <c r="B2761" s="5" t="s">
        <v>17</v>
      </c>
      <c r="C2761" s="5" t="s">
        <v>1422</v>
      </c>
      <c r="D2761" s="8" t="s">
        <v>64</v>
      </c>
      <c r="E2761" s="16" t="s">
        <v>164</v>
      </c>
      <c r="F2761" s="16" t="s">
        <v>165</v>
      </c>
      <c r="G2761" s="8" t="s">
        <v>191</v>
      </c>
      <c r="H2761" s="8" t="s">
        <v>192</v>
      </c>
      <c r="I2761" s="16" t="s">
        <v>296</v>
      </c>
      <c r="J2761" s="16">
        <v>17.784808999999999</v>
      </c>
      <c r="K2761" s="16">
        <v>-96.802457000000004</v>
      </c>
      <c r="L2761" s="16" t="str">
        <f>HYPERLINK("https://maps.google.com/?q=17.784809,-96.802457", "🔗 Ver Mapa")</f>
        <v>🔗 Ver Mapa</v>
      </c>
    </row>
    <row r="2762" spans="1:12" ht="43.5" x14ac:dyDescent="0.35">
      <c r="A2762" s="6" t="s">
        <v>4</v>
      </c>
      <c r="B2762" s="6" t="s">
        <v>17</v>
      </c>
      <c r="C2762" s="6" t="s">
        <v>1422</v>
      </c>
      <c r="D2762" s="11" t="s">
        <v>64</v>
      </c>
      <c r="E2762" s="17" t="s">
        <v>164</v>
      </c>
      <c r="F2762" s="17" t="s">
        <v>165</v>
      </c>
      <c r="G2762" s="11" t="s">
        <v>191</v>
      </c>
      <c r="H2762" s="11" t="s">
        <v>192</v>
      </c>
      <c r="I2762" s="17" t="s">
        <v>296</v>
      </c>
      <c r="J2762" s="17">
        <v>17.784817</v>
      </c>
      <c r="K2762" s="17">
        <v>-96.802391</v>
      </c>
      <c r="L2762" s="17" t="str">
        <f>HYPERLINK("https://maps.google.com/?q=17.784817,-96.802391", "🔗 Ver Mapa")</f>
        <v>🔗 Ver Mapa</v>
      </c>
    </row>
    <row r="2763" spans="1:12" ht="43.5" x14ac:dyDescent="0.35">
      <c r="A2763" s="5" t="s">
        <v>4</v>
      </c>
      <c r="B2763" s="5" t="s">
        <v>17</v>
      </c>
      <c r="C2763" s="5" t="s">
        <v>1422</v>
      </c>
      <c r="D2763" s="8" t="s">
        <v>64</v>
      </c>
      <c r="E2763" s="16" t="s">
        <v>164</v>
      </c>
      <c r="F2763" s="16" t="s">
        <v>165</v>
      </c>
      <c r="G2763" s="8" t="s">
        <v>191</v>
      </c>
      <c r="H2763" s="8" t="s">
        <v>192</v>
      </c>
      <c r="I2763" s="16" t="s">
        <v>296</v>
      </c>
      <c r="J2763" s="16">
        <v>17.784862</v>
      </c>
      <c r="K2763" s="16">
        <v>-96.802362000000002</v>
      </c>
      <c r="L2763" s="16" t="str">
        <f>HYPERLINK("https://maps.google.com/?q=17.784862,-96.802362", "🔗 Ver Mapa")</f>
        <v>🔗 Ver Mapa</v>
      </c>
    </row>
    <row r="2764" spans="1:12" ht="43.5" x14ac:dyDescent="0.35">
      <c r="A2764" s="6" t="s">
        <v>4</v>
      </c>
      <c r="B2764" s="6" t="s">
        <v>17</v>
      </c>
      <c r="C2764" s="6" t="s">
        <v>1422</v>
      </c>
      <c r="D2764" s="11" t="s">
        <v>64</v>
      </c>
      <c r="E2764" s="17" t="s">
        <v>164</v>
      </c>
      <c r="F2764" s="17" t="s">
        <v>165</v>
      </c>
      <c r="G2764" s="11" t="s">
        <v>191</v>
      </c>
      <c r="H2764" s="11" t="s">
        <v>192</v>
      </c>
      <c r="I2764" s="17" t="s">
        <v>296</v>
      </c>
      <c r="J2764" s="17">
        <v>17.784901000000001</v>
      </c>
      <c r="K2764" s="17">
        <v>-96.802660000000003</v>
      </c>
      <c r="L2764" s="17" t="str">
        <f>HYPERLINK("https://maps.google.com/?q=17.784901,-96.80266", "🔗 Ver Mapa")</f>
        <v>🔗 Ver Mapa</v>
      </c>
    </row>
    <row r="2765" spans="1:12" ht="43.5" x14ac:dyDescent="0.35">
      <c r="A2765" s="5" t="s">
        <v>4</v>
      </c>
      <c r="B2765" s="5" t="s">
        <v>17</v>
      </c>
      <c r="C2765" s="5" t="s">
        <v>1422</v>
      </c>
      <c r="D2765" s="8" t="s">
        <v>64</v>
      </c>
      <c r="E2765" s="16" t="s">
        <v>164</v>
      </c>
      <c r="F2765" s="16" t="s">
        <v>165</v>
      </c>
      <c r="G2765" s="8" t="s">
        <v>191</v>
      </c>
      <c r="H2765" s="8" t="s">
        <v>192</v>
      </c>
      <c r="I2765" s="16" t="s">
        <v>296</v>
      </c>
      <c r="J2765" s="16">
        <v>17.784960999999999</v>
      </c>
      <c r="K2765" s="16">
        <v>-96.802304000000007</v>
      </c>
      <c r="L2765" s="16" t="str">
        <f>HYPERLINK("https://maps.google.com/?q=17.784961,-96.802304", "🔗 Ver Mapa")</f>
        <v>🔗 Ver Mapa</v>
      </c>
    </row>
    <row r="2766" spans="1:12" ht="43.5" x14ac:dyDescent="0.35">
      <c r="A2766" s="6" t="s">
        <v>4</v>
      </c>
      <c r="B2766" s="6" t="s">
        <v>17</v>
      </c>
      <c r="C2766" s="6" t="s">
        <v>1422</v>
      </c>
      <c r="D2766" s="11" t="s">
        <v>64</v>
      </c>
      <c r="E2766" s="17" t="s">
        <v>164</v>
      </c>
      <c r="F2766" s="17" t="s">
        <v>165</v>
      </c>
      <c r="G2766" s="11" t="s">
        <v>191</v>
      </c>
      <c r="H2766" s="11" t="s">
        <v>192</v>
      </c>
      <c r="I2766" s="17" t="s">
        <v>296</v>
      </c>
      <c r="J2766" s="17">
        <v>17.785087000000001</v>
      </c>
      <c r="K2766" s="17">
        <v>-96.802237000000005</v>
      </c>
      <c r="L2766" s="17" t="str">
        <f>HYPERLINK("https://maps.google.com/?q=17.785087,-96.802237", "🔗 Ver Mapa")</f>
        <v>🔗 Ver Mapa</v>
      </c>
    </row>
    <row r="2767" spans="1:12" ht="43.5" x14ac:dyDescent="0.35">
      <c r="A2767" s="5" t="s">
        <v>4</v>
      </c>
      <c r="B2767" s="5" t="s">
        <v>17</v>
      </c>
      <c r="C2767" s="5" t="s">
        <v>1422</v>
      </c>
      <c r="D2767" s="8" t="s">
        <v>64</v>
      </c>
      <c r="E2767" s="16" t="s">
        <v>164</v>
      </c>
      <c r="F2767" s="16" t="s">
        <v>165</v>
      </c>
      <c r="G2767" s="8" t="s">
        <v>191</v>
      </c>
      <c r="H2767" s="8" t="s">
        <v>192</v>
      </c>
      <c r="I2767" s="16" t="s">
        <v>296</v>
      </c>
      <c r="J2767" s="16">
        <v>17.785129999999999</v>
      </c>
      <c r="K2767" s="16">
        <v>-96.802896000000004</v>
      </c>
      <c r="L2767" s="16" t="str">
        <f>HYPERLINK("https://maps.google.com/?q=17.78513,-96.802896", "🔗 Ver Mapa")</f>
        <v>🔗 Ver Mapa</v>
      </c>
    </row>
    <row r="2768" spans="1:12" ht="43.5" x14ac:dyDescent="0.35">
      <c r="A2768" s="6" t="s">
        <v>4</v>
      </c>
      <c r="B2768" s="6" t="s">
        <v>17</v>
      </c>
      <c r="C2768" s="6" t="s">
        <v>1422</v>
      </c>
      <c r="D2768" s="11" t="s">
        <v>64</v>
      </c>
      <c r="E2768" s="17" t="s">
        <v>164</v>
      </c>
      <c r="F2768" s="17" t="s">
        <v>165</v>
      </c>
      <c r="G2768" s="11" t="s">
        <v>191</v>
      </c>
      <c r="H2768" s="11" t="s">
        <v>192</v>
      </c>
      <c r="I2768" s="17" t="s">
        <v>296</v>
      </c>
      <c r="J2768" s="17">
        <v>17.785212999999999</v>
      </c>
      <c r="K2768" s="17">
        <v>-96.802188000000001</v>
      </c>
      <c r="L2768" s="17" t="str">
        <f>HYPERLINK("https://maps.google.com/?q=17.785213,-96.802188", "🔗 Ver Mapa")</f>
        <v>🔗 Ver Mapa</v>
      </c>
    </row>
    <row r="2769" spans="1:12" ht="43.5" x14ac:dyDescent="0.35">
      <c r="A2769" s="5" t="s">
        <v>4</v>
      </c>
      <c r="B2769" s="5" t="s">
        <v>17</v>
      </c>
      <c r="C2769" s="5" t="s">
        <v>1422</v>
      </c>
      <c r="D2769" s="8" t="s">
        <v>64</v>
      </c>
      <c r="E2769" s="16" t="s">
        <v>164</v>
      </c>
      <c r="F2769" s="16" t="s">
        <v>165</v>
      </c>
      <c r="G2769" s="8" t="s">
        <v>191</v>
      </c>
      <c r="H2769" s="8" t="s">
        <v>192</v>
      </c>
      <c r="I2769" s="16" t="s">
        <v>296</v>
      </c>
      <c r="J2769" s="16">
        <v>17.785356</v>
      </c>
      <c r="K2769" s="16">
        <v>-96.802130000000005</v>
      </c>
      <c r="L2769" s="16" t="str">
        <f>HYPERLINK("https://maps.google.com/?q=17.785356,-96.80213", "🔗 Ver Mapa")</f>
        <v>🔗 Ver Mapa</v>
      </c>
    </row>
    <row r="2770" spans="1:12" ht="43.5" x14ac:dyDescent="0.35">
      <c r="A2770" s="6" t="s">
        <v>4</v>
      </c>
      <c r="B2770" s="6" t="s">
        <v>17</v>
      </c>
      <c r="C2770" s="6" t="s">
        <v>1422</v>
      </c>
      <c r="D2770" s="11" t="s">
        <v>64</v>
      </c>
      <c r="E2770" s="17" t="s">
        <v>164</v>
      </c>
      <c r="F2770" s="17" t="s">
        <v>165</v>
      </c>
      <c r="G2770" s="11" t="s">
        <v>191</v>
      </c>
      <c r="H2770" s="11" t="s">
        <v>192</v>
      </c>
      <c r="I2770" s="17" t="s">
        <v>296</v>
      </c>
      <c r="J2770" s="17">
        <v>17.785395000000001</v>
      </c>
      <c r="K2770" s="17">
        <v>-96.803138000000004</v>
      </c>
      <c r="L2770" s="17" t="str">
        <f>HYPERLINK("https://maps.google.com/?q=17.785395,-96.803138", "🔗 Ver Mapa")</f>
        <v>🔗 Ver Mapa</v>
      </c>
    </row>
    <row r="2771" spans="1:12" ht="43.5" x14ac:dyDescent="0.35">
      <c r="A2771" s="5" t="s">
        <v>4</v>
      </c>
      <c r="B2771" s="5" t="s">
        <v>17</v>
      </c>
      <c r="C2771" s="5" t="s">
        <v>1422</v>
      </c>
      <c r="D2771" s="8" t="s">
        <v>64</v>
      </c>
      <c r="E2771" s="16" t="s">
        <v>164</v>
      </c>
      <c r="F2771" s="16" t="s">
        <v>165</v>
      </c>
      <c r="G2771" s="8" t="s">
        <v>191</v>
      </c>
      <c r="H2771" s="8" t="s">
        <v>192</v>
      </c>
      <c r="I2771" s="16" t="s">
        <v>296</v>
      </c>
      <c r="J2771" s="16">
        <v>17.785464999999999</v>
      </c>
      <c r="K2771" s="16">
        <v>-96.802109000000002</v>
      </c>
      <c r="L2771" s="16" t="str">
        <f>HYPERLINK("https://maps.google.com/?q=17.785465,-96.802109", "🔗 Ver Mapa")</f>
        <v>🔗 Ver Mapa</v>
      </c>
    </row>
    <row r="2772" spans="1:12" ht="43.5" x14ac:dyDescent="0.35">
      <c r="A2772" s="6" t="s">
        <v>4</v>
      </c>
      <c r="B2772" s="6" t="s">
        <v>17</v>
      </c>
      <c r="C2772" s="6" t="s">
        <v>1422</v>
      </c>
      <c r="D2772" s="11" t="s">
        <v>64</v>
      </c>
      <c r="E2772" s="17" t="s">
        <v>164</v>
      </c>
      <c r="F2772" s="17" t="s">
        <v>165</v>
      </c>
      <c r="G2772" s="11" t="s">
        <v>191</v>
      </c>
      <c r="H2772" s="11" t="s">
        <v>192</v>
      </c>
      <c r="I2772" s="17" t="s">
        <v>296</v>
      </c>
      <c r="J2772" s="17">
        <v>17.785529</v>
      </c>
      <c r="K2772" s="17">
        <v>-96.802222</v>
      </c>
      <c r="L2772" s="17" t="str">
        <f>HYPERLINK("https://maps.google.com/?q=17.785529,-96.802222", "🔗 Ver Mapa")</f>
        <v>🔗 Ver Mapa</v>
      </c>
    </row>
    <row r="2773" spans="1:12" ht="43.5" x14ac:dyDescent="0.35">
      <c r="A2773" s="5" t="s">
        <v>4</v>
      </c>
      <c r="B2773" s="5" t="s">
        <v>17</v>
      </c>
      <c r="C2773" s="5" t="s">
        <v>1422</v>
      </c>
      <c r="D2773" s="8" t="s">
        <v>64</v>
      </c>
      <c r="E2773" s="16" t="s">
        <v>164</v>
      </c>
      <c r="F2773" s="16" t="s">
        <v>165</v>
      </c>
      <c r="G2773" s="8" t="s">
        <v>191</v>
      </c>
      <c r="H2773" s="8" t="s">
        <v>192</v>
      </c>
      <c r="I2773" s="16" t="s">
        <v>296</v>
      </c>
      <c r="J2773" s="16">
        <v>17.785588000000001</v>
      </c>
      <c r="K2773" s="16">
        <v>-96.803427999999997</v>
      </c>
      <c r="L2773" s="16" t="str">
        <f>HYPERLINK("https://maps.google.com/?q=17.785588,-96.803428", "🔗 Ver Mapa")</f>
        <v>🔗 Ver Mapa</v>
      </c>
    </row>
    <row r="2774" spans="1:12" ht="43.5" x14ac:dyDescent="0.35">
      <c r="A2774" s="6" t="s">
        <v>4</v>
      </c>
      <c r="B2774" s="6" t="s">
        <v>17</v>
      </c>
      <c r="C2774" s="6" t="s">
        <v>1422</v>
      </c>
      <c r="D2774" s="11" t="s">
        <v>64</v>
      </c>
      <c r="E2774" s="17" t="s">
        <v>164</v>
      </c>
      <c r="F2774" s="17" t="s">
        <v>165</v>
      </c>
      <c r="G2774" s="11" t="s">
        <v>191</v>
      </c>
      <c r="H2774" s="11" t="s">
        <v>192</v>
      </c>
      <c r="I2774" s="17" t="s">
        <v>296</v>
      </c>
      <c r="J2774" s="17">
        <v>17.785706000000001</v>
      </c>
      <c r="K2774" s="17">
        <v>-96.803511</v>
      </c>
      <c r="L2774" s="17" t="str">
        <f>HYPERLINK("https://maps.google.com/?q=17.785706,-96.803511", "🔗 Ver Mapa")</f>
        <v>🔗 Ver Mapa</v>
      </c>
    </row>
    <row r="2775" spans="1:12" ht="43.5" x14ac:dyDescent="0.35">
      <c r="A2775" s="5" t="s">
        <v>4</v>
      </c>
      <c r="B2775" s="5" t="s">
        <v>17</v>
      </c>
      <c r="C2775" s="5" t="s">
        <v>1422</v>
      </c>
      <c r="D2775" s="8" t="s">
        <v>64</v>
      </c>
      <c r="E2775" s="16" t="s">
        <v>164</v>
      </c>
      <c r="F2775" s="16" t="s">
        <v>165</v>
      </c>
      <c r="G2775" s="8" t="s">
        <v>191</v>
      </c>
      <c r="H2775" s="8" t="s">
        <v>192</v>
      </c>
      <c r="I2775" s="16" t="s">
        <v>296</v>
      </c>
      <c r="J2775" s="16">
        <v>17.785706999999999</v>
      </c>
      <c r="K2775" s="16">
        <v>-96.802152000000007</v>
      </c>
      <c r="L2775" s="16" t="str">
        <f>HYPERLINK("https://maps.google.com/?q=17.785707,-96.802152", "🔗 Ver Mapa")</f>
        <v>🔗 Ver Mapa</v>
      </c>
    </row>
    <row r="2776" spans="1:12" ht="43.5" x14ac:dyDescent="0.35">
      <c r="A2776" s="6" t="s">
        <v>4</v>
      </c>
      <c r="B2776" s="6" t="s">
        <v>17</v>
      </c>
      <c r="C2776" s="6" t="s">
        <v>1422</v>
      </c>
      <c r="D2776" s="11" t="s">
        <v>64</v>
      </c>
      <c r="E2776" s="17" t="s">
        <v>164</v>
      </c>
      <c r="F2776" s="17" t="s">
        <v>165</v>
      </c>
      <c r="G2776" s="11" t="s">
        <v>191</v>
      </c>
      <c r="H2776" s="11" t="s">
        <v>192</v>
      </c>
      <c r="I2776" s="17" t="s">
        <v>296</v>
      </c>
      <c r="J2776" s="17">
        <v>17.785834000000001</v>
      </c>
      <c r="K2776" s="17">
        <v>-96.803584999999998</v>
      </c>
      <c r="L2776" s="17" t="str">
        <f>HYPERLINK("https://maps.google.com/?q=17.785834,-96.803585", "🔗 Ver Mapa")</f>
        <v>🔗 Ver Mapa</v>
      </c>
    </row>
    <row r="2777" spans="1:12" ht="43.5" x14ac:dyDescent="0.35">
      <c r="A2777" s="5" t="s">
        <v>4</v>
      </c>
      <c r="B2777" s="5" t="s">
        <v>17</v>
      </c>
      <c r="C2777" s="5" t="s">
        <v>1422</v>
      </c>
      <c r="D2777" s="8" t="s">
        <v>64</v>
      </c>
      <c r="E2777" s="16" t="s">
        <v>164</v>
      </c>
      <c r="F2777" s="16" t="s">
        <v>165</v>
      </c>
      <c r="G2777" s="8" t="s">
        <v>191</v>
      </c>
      <c r="H2777" s="8" t="s">
        <v>192</v>
      </c>
      <c r="I2777" s="16" t="s">
        <v>296</v>
      </c>
      <c r="J2777" s="16">
        <v>17.785996999999998</v>
      </c>
      <c r="K2777" s="16">
        <v>-96.803676999999993</v>
      </c>
      <c r="L2777" s="16" t="str">
        <f>HYPERLINK("https://maps.google.com/?q=17.785997,-96.803677", "🔗 Ver Mapa")</f>
        <v>🔗 Ver Mapa</v>
      </c>
    </row>
    <row r="2778" spans="1:12" ht="43.5" x14ac:dyDescent="0.35">
      <c r="A2778" s="6" t="s">
        <v>4</v>
      </c>
      <c r="B2778" s="6" t="s">
        <v>17</v>
      </c>
      <c r="C2778" s="6" t="s">
        <v>1422</v>
      </c>
      <c r="D2778" s="11" t="s">
        <v>64</v>
      </c>
      <c r="E2778" s="17" t="s">
        <v>164</v>
      </c>
      <c r="F2778" s="17" t="s">
        <v>165</v>
      </c>
      <c r="G2778" s="11" t="s">
        <v>191</v>
      </c>
      <c r="H2778" s="11" t="s">
        <v>192</v>
      </c>
      <c r="I2778" s="17" t="s">
        <v>296</v>
      </c>
      <c r="J2778" s="17">
        <v>17.786107000000001</v>
      </c>
      <c r="K2778" s="17">
        <v>-96.803788999999995</v>
      </c>
      <c r="L2778" s="17" t="str">
        <f>HYPERLINK("https://maps.google.com/?q=17.786107,-96.803789", "🔗 Ver Mapa")</f>
        <v>🔗 Ver Mapa</v>
      </c>
    </row>
    <row r="2779" spans="1:12" ht="43.5" x14ac:dyDescent="0.35">
      <c r="A2779" s="5" t="s">
        <v>4</v>
      </c>
      <c r="B2779" s="5" t="s">
        <v>17</v>
      </c>
      <c r="C2779" s="5" t="s">
        <v>1422</v>
      </c>
      <c r="D2779" s="8" t="s">
        <v>64</v>
      </c>
      <c r="E2779" s="16" t="s">
        <v>164</v>
      </c>
      <c r="F2779" s="16" t="s">
        <v>165</v>
      </c>
      <c r="G2779" s="8" t="s">
        <v>191</v>
      </c>
      <c r="H2779" s="8" t="s">
        <v>192</v>
      </c>
      <c r="I2779" s="16" t="s">
        <v>296</v>
      </c>
      <c r="J2779" s="16">
        <v>17.786299</v>
      </c>
      <c r="K2779" s="16">
        <v>-96.803976000000006</v>
      </c>
      <c r="L2779" s="16" t="str">
        <f>HYPERLINK("https://maps.google.com/?q=17.786299,-96.803976", "🔗 Ver Mapa")</f>
        <v>🔗 Ver Mapa</v>
      </c>
    </row>
    <row r="2780" spans="1:12" ht="43.5" x14ac:dyDescent="0.35">
      <c r="A2780" s="6" t="s">
        <v>4</v>
      </c>
      <c r="B2780" s="6" t="s">
        <v>17</v>
      </c>
      <c r="C2780" s="6" t="s">
        <v>1422</v>
      </c>
      <c r="D2780" s="11" t="s">
        <v>64</v>
      </c>
      <c r="E2780" s="17" t="s">
        <v>164</v>
      </c>
      <c r="F2780" s="17" t="s">
        <v>165</v>
      </c>
      <c r="G2780" s="11" t="s">
        <v>191</v>
      </c>
      <c r="H2780" s="11" t="s">
        <v>192</v>
      </c>
      <c r="I2780" s="17" t="s">
        <v>296</v>
      </c>
      <c r="J2780" s="17">
        <v>17.786508000000001</v>
      </c>
      <c r="K2780" s="17">
        <v>-96.804142999999996</v>
      </c>
      <c r="L2780" s="17" t="str">
        <f>HYPERLINK("https://maps.google.com/?q=17.786508,-96.804143", "🔗 Ver Mapa")</f>
        <v>🔗 Ver Mapa</v>
      </c>
    </row>
    <row r="2781" spans="1:12" ht="43.5" x14ac:dyDescent="0.35">
      <c r="A2781" s="5" t="s">
        <v>4</v>
      </c>
      <c r="B2781" s="5" t="s">
        <v>17</v>
      </c>
      <c r="C2781" s="5" t="s">
        <v>1422</v>
      </c>
      <c r="D2781" s="8" t="s">
        <v>64</v>
      </c>
      <c r="E2781" s="16" t="s">
        <v>164</v>
      </c>
      <c r="F2781" s="16" t="s">
        <v>165</v>
      </c>
      <c r="G2781" s="8" t="s">
        <v>191</v>
      </c>
      <c r="H2781" s="8" t="s">
        <v>192</v>
      </c>
      <c r="I2781" s="16" t="s">
        <v>296</v>
      </c>
      <c r="J2781" s="16">
        <v>17.786746000000001</v>
      </c>
      <c r="K2781" s="16">
        <v>-96.804404000000005</v>
      </c>
      <c r="L2781" s="16" t="str">
        <f>HYPERLINK("https://maps.google.com/?q=17.786746,-96.804404", "🔗 Ver Mapa")</f>
        <v>🔗 Ver Mapa</v>
      </c>
    </row>
    <row r="2782" spans="1:12" ht="43.5" x14ac:dyDescent="0.35">
      <c r="A2782" s="6" t="s">
        <v>4</v>
      </c>
      <c r="B2782" s="6" t="s">
        <v>17</v>
      </c>
      <c r="C2782" s="6" t="s">
        <v>1422</v>
      </c>
      <c r="D2782" s="11" t="s">
        <v>64</v>
      </c>
      <c r="E2782" s="17" t="s">
        <v>164</v>
      </c>
      <c r="F2782" s="17" t="s">
        <v>165</v>
      </c>
      <c r="G2782" s="11" t="s">
        <v>191</v>
      </c>
      <c r="H2782" s="11" t="s">
        <v>192</v>
      </c>
      <c r="I2782" s="17" t="s">
        <v>296</v>
      </c>
      <c r="J2782" s="17">
        <v>17.786912000000001</v>
      </c>
      <c r="K2782" s="17">
        <v>-96.804675000000003</v>
      </c>
      <c r="L2782" s="17" t="str">
        <f>HYPERLINK("https://maps.google.com/?q=17.786912,-96.804675", "🔗 Ver Mapa")</f>
        <v>🔗 Ver Mapa</v>
      </c>
    </row>
    <row r="2783" spans="1:12" ht="43.5" x14ac:dyDescent="0.35">
      <c r="A2783" s="5" t="s">
        <v>4</v>
      </c>
      <c r="B2783" s="5" t="s">
        <v>17</v>
      </c>
      <c r="C2783" s="5" t="s">
        <v>1422</v>
      </c>
      <c r="D2783" s="8" t="s">
        <v>64</v>
      </c>
      <c r="E2783" s="16" t="s">
        <v>164</v>
      </c>
      <c r="F2783" s="16" t="s">
        <v>165</v>
      </c>
      <c r="G2783" s="8" t="s">
        <v>191</v>
      </c>
      <c r="H2783" s="8" t="s">
        <v>192</v>
      </c>
      <c r="I2783" s="16" t="s">
        <v>296</v>
      </c>
      <c r="J2783" s="16">
        <v>17.786968000000002</v>
      </c>
      <c r="K2783" s="16">
        <v>-96.804890999999998</v>
      </c>
      <c r="L2783" s="16" t="str">
        <f>HYPERLINK("https://maps.google.com/?q=17.786968,-96.804891", "🔗 Ver Mapa")</f>
        <v>🔗 Ver Mapa</v>
      </c>
    </row>
    <row r="2784" spans="1:12" ht="43.5" x14ac:dyDescent="0.35">
      <c r="A2784" s="6" t="s">
        <v>4</v>
      </c>
      <c r="B2784" s="6" t="s">
        <v>17</v>
      </c>
      <c r="C2784" s="6" t="s">
        <v>1422</v>
      </c>
      <c r="D2784" s="11" t="s">
        <v>64</v>
      </c>
      <c r="E2784" s="17" t="s">
        <v>164</v>
      </c>
      <c r="F2784" s="17" t="s">
        <v>165</v>
      </c>
      <c r="G2784" s="11" t="s">
        <v>191</v>
      </c>
      <c r="H2784" s="11" t="s">
        <v>192</v>
      </c>
      <c r="I2784" s="17" t="s">
        <v>296</v>
      </c>
      <c r="J2784" s="17">
        <v>17.787161000000001</v>
      </c>
      <c r="K2784" s="17">
        <v>-96.805171999999999</v>
      </c>
      <c r="L2784" s="17" t="str">
        <f>HYPERLINK("https://maps.google.com/?q=17.787161,-96.805172", "🔗 Ver Mapa")</f>
        <v>🔗 Ver Mapa</v>
      </c>
    </row>
    <row r="2785" spans="1:12" ht="43.5" x14ac:dyDescent="0.35">
      <c r="A2785" s="5" t="s">
        <v>4</v>
      </c>
      <c r="B2785" s="5" t="s">
        <v>17</v>
      </c>
      <c r="C2785" s="5" t="s">
        <v>1422</v>
      </c>
      <c r="D2785" s="8" t="s">
        <v>64</v>
      </c>
      <c r="E2785" s="16" t="s">
        <v>164</v>
      </c>
      <c r="F2785" s="16" t="s">
        <v>165</v>
      </c>
      <c r="G2785" s="8" t="s">
        <v>191</v>
      </c>
      <c r="H2785" s="8" t="s">
        <v>192</v>
      </c>
      <c r="I2785" s="16" t="s">
        <v>296</v>
      </c>
      <c r="J2785" s="16">
        <v>17.787412</v>
      </c>
      <c r="K2785" s="16">
        <v>-96.805772000000005</v>
      </c>
      <c r="L2785" s="16" t="str">
        <f>HYPERLINK("https://maps.google.com/?q=17.787412,-96.805772", "🔗 Ver Mapa")</f>
        <v>🔗 Ver Mapa</v>
      </c>
    </row>
    <row r="2786" spans="1:12" ht="43.5" x14ac:dyDescent="0.35">
      <c r="A2786" s="6" t="s">
        <v>4</v>
      </c>
      <c r="B2786" s="6" t="s">
        <v>17</v>
      </c>
      <c r="C2786" s="6" t="s">
        <v>1422</v>
      </c>
      <c r="D2786" s="11" t="s">
        <v>64</v>
      </c>
      <c r="E2786" s="17" t="s">
        <v>164</v>
      </c>
      <c r="F2786" s="17" t="s">
        <v>165</v>
      </c>
      <c r="G2786" s="11" t="s">
        <v>191</v>
      </c>
      <c r="H2786" s="11" t="s">
        <v>192</v>
      </c>
      <c r="I2786" s="17" t="s">
        <v>296</v>
      </c>
      <c r="J2786" s="17">
        <v>17.787552000000002</v>
      </c>
      <c r="K2786" s="17">
        <v>-96.806156999999999</v>
      </c>
      <c r="L2786" s="17" t="str">
        <f>HYPERLINK("https://maps.google.com/?q=17.787552,-96.806157", "🔗 Ver Mapa")</f>
        <v>🔗 Ver Mapa</v>
      </c>
    </row>
    <row r="2787" spans="1:12" ht="43.5" x14ac:dyDescent="0.35">
      <c r="A2787" s="5" t="s">
        <v>4</v>
      </c>
      <c r="B2787" s="5" t="s">
        <v>17</v>
      </c>
      <c r="C2787" s="5" t="s">
        <v>1422</v>
      </c>
      <c r="D2787" s="8" t="s">
        <v>64</v>
      </c>
      <c r="E2787" s="16" t="s">
        <v>164</v>
      </c>
      <c r="F2787" s="16" t="s">
        <v>165</v>
      </c>
      <c r="G2787" s="8" t="s">
        <v>191</v>
      </c>
      <c r="H2787" s="8" t="s">
        <v>192</v>
      </c>
      <c r="I2787" s="16" t="s">
        <v>296</v>
      </c>
      <c r="J2787" s="16">
        <v>17.787652999999999</v>
      </c>
      <c r="K2787" s="16">
        <v>-96.807184000000007</v>
      </c>
      <c r="L2787" s="16" t="str">
        <f>HYPERLINK("https://maps.google.com/?q=17.787653,-96.807184", "🔗 Ver Mapa")</f>
        <v>🔗 Ver Mapa</v>
      </c>
    </row>
    <row r="2788" spans="1:12" ht="43.5" x14ac:dyDescent="0.35">
      <c r="A2788" s="6" t="s">
        <v>4</v>
      </c>
      <c r="B2788" s="6" t="s">
        <v>17</v>
      </c>
      <c r="C2788" s="6" t="s">
        <v>1422</v>
      </c>
      <c r="D2788" s="11" t="s">
        <v>64</v>
      </c>
      <c r="E2788" s="17" t="s">
        <v>164</v>
      </c>
      <c r="F2788" s="17" t="s">
        <v>165</v>
      </c>
      <c r="G2788" s="11" t="s">
        <v>191</v>
      </c>
      <c r="H2788" s="11" t="s">
        <v>192</v>
      </c>
      <c r="I2788" s="17" t="s">
        <v>296</v>
      </c>
      <c r="J2788" s="17">
        <v>17.787707999999999</v>
      </c>
      <c r="K2788" s="17">
        <v>-96.807210999999995</v>
      </c>
      <c r="L2788" s="17" t="str">
        <f>HYPERLINK("https://maps.google.com/?q=17.787708,-96.807211", "🔗 Ver Mapa")</f>
        <v>🔗 Ver Mapa</v>
      </c>
    </row>
    <row r="2789" spans="1:12" ht="43.5" x14ac:dyDescent="0.35">
      <c r="A2789" s="5" t="s">
        <v>4</v>
      </c>
      <c r="B2789" s="5" t="s">
        <v>17</v>
      </c>
      <c r="C2789" s="5" t="s">
        <v>1422</v>
      </c>
      <c r="D2789" s="8" t="s">
        <v>64</v>
      </c>
      <c r="E2789" s="16" t="s">
        <v>164</v>
      </c>
      <c r="F2789" s="16" t="s">
        <v>165</v>
      </c>
      <c r="G2789" s="8" t="s">
        <v>191</v>
      </c>
      <c r="H2789" s="8" t="s">
        <v>192</v>
      </c>
      <c r="I2789" s="16" t="s">
        <v>296</v>
      </c>
      <c r="J2789" s="16">
        <v>17.787758</v>
      </c>
      <c r="K2789" s="16">
        <v>-96.806824000000006</v>
      </c>
      <c r="L2789" s="16" t="str">
        <f>HYPERLINK("https://maps.google.com/?q=17.787758,-96.806824", "🔗 Ver Mapa")</f>
        <v>🔗 Ver Mapa</v>
      </c>
    </row>
    <row r="2790" spans="1:12" ht="43.5" x14ac:dyDescent="0.35">
      <c r="A2790" s="6" t="s">
        <v>4</v>
      </c>
      <c r="B2790" s="6" t="s">
        <v>17</v>
      </c>
      <c r="C2790" s="6" t="s">
        <v>1422</v>
      </c>
      <c r="D2790" s="11" t="s">
        <v>64</v>
      </c>
      <c r="E2790" s="17" t="s">
        <v>164</v>
      </c>
      <c r="F2790" s="17" t="s">
        <v>165</v>
      </c>
      <c r="G2790" s="11" t="s">
        <v>191</v>
      </c>
      <c r="H2790" s="11" t="s">
        <v>192</v>
      </c>
      <c r="I2790" s="17" t="s">
        <v>296</v>
      </c>
      <c r="J2790" s="17">
        <v>17.787793000000001</v>
      </c>
      <c r="K2790" s="17">
        <v>-96.807530999999997</v>
      </c>
      <c r="L2790" s="17" t="str">
        <f>HYPERLINK("https://maps.google.com/?q=17.787793,-96.807531", "🔗 Ver Mapa")</f>
        <v>🔗 Ver Mapa</v>
      </c>
    </row>
    <row r="2791" spans="1:12" ht="43.5" x14ac:dyDescent="0.35">
      <c r="A2791" s="5" t="s">
        <v>4</v>
      </c>
      <c r="B2791" s="5" t="s">
        <v>17</v>
      </c>
      <c r="C2791" s="5" t="s">
        <v>1422</v>
      </c>
      <c r="D2791" s="8" t="s">
        <v>64</v>
      </c>
      <c r="E2791" s="16" t="s">
        <v>164</v>
      </c>
      <c r="F2791" s="16" t="s">
        <v>165</v>
      </c>
      <c r="G2791" s="8" t="s">
        <v>191</v>
      </c>
      <c r="H2791" s="8" t="s">
        <v>192</v>
      </c>
      <c r="I2791" s="16" t="s">
        <v>296</v>
      </c>
      <c r="J2791" s="16">
        <v>17.788015999999999</v>
      </c>
      <c r="K2791" s="16">
        <v>-96.808103000000003</v>
      </c>
      <c r="L2791" s="16" t="str">
        <f>HYPERLINK("https://maps.google.com/?q=17.788016,-96.808103", "🔗 Ver Mapa")</f>
        <v>🔗 Ver Mapa</v>
      </c>
    </row>
    <row r="2792" spans="1:12" ht="43.5" x14ac:dyDescent="0.35">
      <c r="A2792" s="6" t="s">
        <v>4</v>
      </c>
      <c r="B2792" s="6" t="s">
        <v>17</v>
      </c>
      <c r="C2792" s="6" t="s">
        <v>1422</v>
      </c>
      <c r="D2792" s="11" t="s">
        <v>64</v>
      </c>
      <c r="E2792" s="17" t="s">
        <v>164</v>
      </c>
      <c r="F2792" s="17" t="s">
        <v>165</v>
      </c>
      <c r="G2792" s="11" t="s">
        <v>191</v>
      </c>
      <c r="H2792" s="11" t="s">
        <v>192</v>
      </c>
      <c r="I2792" s="17" t="s">
        <v>296</v>
      </c>
      <c r="J2792" s="17">
        <v>17.788201999999998</v>
      </c>
      <c r="K2792" s="17">
        <v>-96.808563000000007</v>
      </c>
      <c r="L2792" s="17" t="str">
        <f>HYPERLINK("https://maps.google.com/?q=17.788202,-96.808563", "🔗 Ver Mapa")</f>
        <v>🔗 Ver Mapa</v>
      </c>
    </row>
    <row r="2793" spans="1:12" ht="43.5" x14ac:dyDescent="0.35">
      <c r="A2793" s="5" t="s">
        <v>4</v>
      </c>
      <c r="B2793" s="5" t="s">
        <v>17</v>
      </c>
      <c r="C2793" s="5" t="s">
        <v>1422</v>
      </c>
      <c r="D2793" s="8" t="s">
        <v>64</v>
      </c>
      <c r="E2793" s="16" t="s">
        <v>164</v>
      </c>
      <c r="F2793" s="16" t="s">
        <v>165</v>
      </c>
      <c r="G2793" s="8" t="s">
        <v>191</v>
      </c>
      <c r="H2793" s="8" t="s">
        <v>192</v>
      </c>
      <c r="I2793" s="16" t="s">
        <v>296</v>
      </c>
      <c r="J2793" s="16">
        <v>17.788336000000001</v>
      </c>
      <c r="K2793" s="16">
        <v>-96.811672999999999</v>
      </c>
      <c r="L2793" s="16" t="str">
        <f>HYPERLINK("https://maps.google.com/?q=17.788336,-96.811673", "🔗 Ver Mapa")</f>
        <v>🔗 Ver Mapa</v>
      </c>
    </row>
    <row r="2794" spans="1:12" ht="43.5" x14ac:dyDescent="0.35">
      <c r="A2794" s="6" t="s">
        <v>4</v>
      </c>
      <c r="B2794" s="6" t="s">
        <v>17</v>
      </c>
      <c r="C2794" s="6" t="s">
        <v>1422</v>
      </c>
      <c r="D2794" s="11" t="s">
        <v>64</v>
      </c>
      <c r="E2794" s="17" t="s">
        <v>164</v>
      </c>
      <c r="F2794" s="17" t="s">
        <v>165</v>
      </c>
      <c r="G2794" s="11" t="s">
        <v>191</v>
      </c>
      <c r="H2794" s="11" t="s">
        <v>192</v>
      </c>
      <c r="I2794" s="17" t="s">
        <v>296</v>
      </c>
      <c r="J2794" s="17">
        <v>17.788357000000001</v>
      </c>
      <c r="K2794" s="17">
        <v>-96.811898999999997</v>
      </c>
      <c r="L2794" s="17" t="str">
        <f>HYPERLINK("https://maps.google.com/?q=17.788357,-96.811899", "🔗 Ver Mapa")</f>
        <v>🔗 Ver Mapa</v>
      </c>
    </row>
    <row r="2795" spans="1:12" ht="43.5" x14ac:dyDescent="0.35">
      <c r="A2795" s="5" t="s">
        <v>4</v>
      </c>
      <c r="B2795" s="5" t="s">
        <v>17</v>
      </c>
      <c r="C2795" s="5" t="s">
        <v>1422</v>
      </c>
      <c r="D2795" s="8" t="s">
        <v>64</v>
      </c>
      <c r="E2795" s="16" t="s">
        <v>164</v>
      </c>
      <c r="F2795" s="16" t="s">
        <v>165</v>
      </c>
      <c r="G2795" s="8" t="s">
        <v>191</v>
      </c>
      <c r="H2795" s="8" t="s">
        <v>192</v>
      </c>
      <c r="I2795" s="16" t="s">
        <v>296</v>
      </c>
      <c r="J2795" s="16">
        <v>17.788425</v>
      </c>
      <c r="K2795" s="16">
        <v>-96.810720000000003</v>
      </c>
      <c r="L2795" s="16" t="str">
        <f>HYPERLINK("https://maps.google.com/?q=17.788425,-96.81072", "🔗 Ver Mapa")</f>
        <v>🔗 Ver Mapa</v>
      </c>
    </row>
    <row r="2796" spans="1:12" ht="43.5" x14ac:dyDescent="0.35">
      <c r="A2796" s="6" t="s">
        <v>4</v>
      </c>
      <c r="B2796" s="6" t="s">
        <v>17</v>
      </c>
      <c r="C2796" s="6" t="s">
        <v>1422</v>
      </c>
      <c r="D2796" s="11" t="s">
        <v>64</v>
      </c>
      <c r="E2796" s="17" t="s">
        <v>164</v>
      </c>
      <c r="F2796" s="17" t="s">
        <v>165</v>
      </c>
      <c r="G2796" s="11" t="s">
        <v>191</v>
      </c>
      <c r="H2796" s="11" t="s">
        <v>192</v>
      </c>
      <c r="I2796" s="17" t="s">
        <v>296</v>
      </c>
      <c r="J2796" s="17">
        <v>17.788491</v>
      </c>
      <c r="K2796" s="17">
        <v>-96.810153</v>
      </c>
      <c r="L2796" s="17" t="str">
        <f>HYPERLINK("https://maps.google.com/?q=17.788491,-96.810153", "🔗 Ver Mapa")</f>
        <v>🔗 Ver Mapa</v>
      </c>
    </row>
    <row r="2797" spans="1:12" ht="43.5" x14ac:dyDescent="0.35">
      <c r="A2797" s="5" t="s">
        <v>4</v>
      </c>
      <c r="B2797" s="5" t="s">
        <v>17</v>
      </c>
      <c r="C2797" s="5" t="s">
        <v>1422</v>
      </c>
      <c r="D2797" s="8" t="s">
        <v>64</v>
      </c>
      <c r="E2797" s="16" t="s">
        <v>164</v>
      </c>
      <c r="F2797" s="16" t="s">
        <v>165</v>
      </c>
      <c r="G2797" s="8" t="s">
        <v>191</v>
      </c>
      <c r="H2797" s="8" t="s">
        <v>192</v>
      </c>
      <c r="I2797" s="16" t="s">
        <v>296</v>
      </c>
      <c r="J2797" s="16">
        <v>17.788506000000002</v>
      </c>
      <c r="K2797" s="16">
        <v>-96.812284000000005</v>
      </c>
      <c r="L2797" s="16" t="str">
        <f>HYPERLINK("https://maps.google.com/?q=17.788506,-96.812284", "🔗 Ver Mapa")</f>
        <v>🔗 Ver Mapa</v>
      </c>
    </row>
    <row r="2798" spans="1:12" ht="43.5" x14ac:dyDescent="0.35">
      <c r="A2798" s="6" t="s">
        <v>4</v>
      </c>
      <c r="B2798" s="6" t="s">
        <v>17</v>
      </c>
      <c r="C2798" s="6" t="s">
        <v>1422</v>
      </c>
      <c r="D2798" s="11" t="s">
        <v>64</v>
      </c>
      <c r="E2798" s="17" t="s">
        <v>164</v>
      </c>
      <c r="F2798" s="17" t="s">
        <v>165</v>
      </c>
      <c r="G2798" s="11" t="s">
        <v>191</v>
      </c>
      <c r="H2798" s="11" t="s">
        <v>192</v>
      </c>
      <c r="I2798" s="17" t="s">
        <v>296</v>
      </c>
      <c r="J2798" s="17">
        <v>17.788599999999999</v>
      </c>
      <c r="K2798" s="17">
        <v>-96.812669999999997</v>
      </c>
      <c r="L2798" s="17" t="str">
        <f>HYPERLINK("https://maps.google.com/?q=17.7886,-96.81267", "🔗 Ver Mapa")</f>
        <v>🔗 Ver Mapa</v>
      </c>
    </row>
    <row r="2799" spans="1:12" ht="43.5" x14ac:dyDescent="0.35">
      <c r="A2799" s="5" t="s">
        <v>4</v>
      </c>
      <c r="B2799" s="5" t="s">
        <v>17</v>
      </c>
      <c r="C2799" s="5" t="s">
        <v>1422</v>
      </c>
      <c r="D2799" s="8" t="s">
        <v>64</v>
      </c>
      <c r="E2799" s="16" t="s">
        <v>164</v>
      </c>
      <c r="F2799" s="16" t="s">
        <v>165</v>
      </c>
      <c r="G2799" s="8" t="s">
        <v>191</v>
      </c>
      <c r="H2799" s="8" t="s">
        <v>192</v>
      </c>
      <c r="I2799" s="16" t="s">
        <v>296</v>
      </c>
      <c r="J2799" s="16">
        <v>17.788668000000001</v>
      </c>
      <c r="K2799" s="16">
        <v>-96.813055000000006</v>
      </c>
      <c r="L2799" s="16" t="str">
        <f>HYPERLINK("https://maps.google.com/?q=17.788668,-96.813055", "🔗 Ver Mapa")</f>
        <v>🔗 Ver Mapa</v>
      </c>
    </row>
    <row r="2800" spans="1:12" ht="43.5" x14ac:dyDescent="0.35">
      <c r="A2800" s="6" t="s">
        <v>4</v>
      </c>
      <c r="B2800" s="6" t="s">
        <v>17</v>
      </c>
      <c r="C2800" s="6" t="s">
        <v>1422</v>
      </c>
      <c r="D2800" s="11" t="s">
        <v>64</v>
      </c>
      <c r="E2800" s="17" t="s">
        <v>164</v>
      </c>
      <c r="F2800" s="17" t="s">
        <v>165</v>
      </c>
      <c r="G2800" s="11" t="s">
        <v>191</v>
      </c>
      <c r="H2800" s="11" t="s">
        <v>192</v>
      </c>
      <c r="I2800" s="17" t="s">
        <v>296</v>
      </c>
      <c r="J2800" s="17">
        <v>17.788788</v>
      </c>
      <c r="K2800" s="17">
        <v>-96.813317999999995</v>
      </c>
      <c r="L2800" s="17" t="str">
        <f>HYPERLINK("https://maps.google.com/?q=17.788788,-96.813318", "🔗 Ver Mapa")</f>
        <v>🔗 Ver Mapa</v>
      </c>
    </row>
    <row r="2801" spans="1:12" ht="43.5" x14ac:dyDescent="0.35">
      <c r="A2801" s="5" t="s">
        <v>4</v>
      </c>
      <c r="B2801" s="5" t="s">
        <v>17</v>
      </c>
      <c r="C2801" s="5" t="s">
        <v>1422</v>
      </c>
      <c r="D2801" s="8" t="s">
        <v>64</v>
      </c>
      <c r="E2801" s="16" t="s">
        <v>164</v>
      </c>
      <c r="F2801" s="16" t="s">
        <v>165</v>
      </c>
      <c r="G2801" s="8" t="s">
        <v>191</v>
      </c>
      <c r="H2801" s="8" t="s">
        <v>192</v>
      </c>
      <c r="I2801" s="16" t="s">
        <v>296</v>
      </c>
      <c r="J2801" s="16">
        <v>17.788910999999999</v>
      </c>
      <c r="K2801" s="16">
        <v>-96.813788000000002</v>
      </c>
      <c r="L2801" s="16" t="str">
        <f>HYPERLINK("https://maps.google.com/?q=17.788911,-96.813788", "🔗 Ver Mapa")</f>
        <v>🔗 Ver Mapa</v>
      </c>
    </row>
    <row r="2802" spans="1:12" ht="43.5" x14ac:dyDescent="0.35">
      <c r="A2802" s="6" t="s">
        <v>4</v>
      </c>
      <c r="B2802" s="6" t="s">
        <v>17</v>
      </c>
      <c r="C2802" s="6" t="s">
        <v>1422</v>
      </c>
      <c r="D2802" s="11" t="s">
        <v>64</v>
      </c>
      <c r="E2802" s="17" t="s">
        <v>164</v>
      </c>
      <c r="F2802" s="17" t="s">
        <v>165</v>
      </c>
      <c r="G2802" s="11" t="s">
        <v>191</v>
      </c>
      <c r="H2802" s="11" t="s">
        <v>192</v>
      </c>
      <c r="I2802" s="17" t="s">
        <v>296</v>
      </c>
      <c r="J2802" s="17">
        <v>17.788931000000002</v>
      </c>
      <c r="K2802" s="17">
        <v>-96.814824999999999</v>
      </c>
      <c r="L2802" s="17" t="str">
        <f>HYPERLINK("https://maps.google.com/?q=17.788931,-96.814825", "🔗 Ver Mapa")</f>
        <v>🔗 Ver Mapa</v>
      </c>
    </row>
    <row r="2803" spans="1:12" ht="43.5" x14ac:dyDescent="0.35">
      <c r="A2803" s="5" t="s">
        <v>4</v>
      </c>
      <c r="B2803" s="5" t="s">
        <v>17</v>
      </c>
      <c r="C2803" s="5" t="s">
        <v>1422</v>
      </c>
      <c r="D2803" s="8" t="s">
        <v>64</v>
      </c>
      <c r="E2803" s="16" t="s">
        <v>164</v>
      </c>
      <c r="F2803" s="16" t="s">
        <v>165</v>
      </c>
      <c r="G2803" s="8" t="s">
        <v>191</v>
      </c>
      <c r="H2803" s="8" t="s">
        <v>192</v>
      </c>
      <c r="I2803" s="16" t="s">
        <v>296</v>
      </c>
      <c r="J2803" s="16">
        <v>17.78895</v>
      </c>
      <c r="K2803" s="16">
        <v>-96.814919000000003</v>
      </c>
      <c r="L2803" s="16" t="str">
        <f>HYPERLINK("https://maps.google.com/?q=17.78895,-96.814919", "🔗 Ver Mapa")</f>
        <v>🔗 Ver Mapa</v>
      </c>
    </row>
    <row r="2804" spans="1:12" ht="43.5" x14ac:dyDescent="0.35">
      <c r="A2804" s="6" t="s">
        <v>4</v>
      </c>
      <c r="B2804" s="6" t="s">
        <v>17</v>
      </c>
      <c r="C2804" s="6" t="s">
        <v>1422</v>
      </c>
      <c r="D2804" s="11" t="s">
        <v>64</v>
      </c>
      <c r="E2804" s="17" t="s">
        <v>164</v>
      </c>
      <c r="F2804" s="17" t="s">
        <v>165</v>
      </c>
      <c r="G2804" s="11" t="s">
        <v>191</v>
      </c>
      <c r="H2804" s="11" t="s">
        <v>192</v>
      </c>
      <c r="I2804" s="17" t="s">
        <v>296</v>
      </c>
      <c r="J2804" s="17">
        <v>17.788972000000001</v>
      </c>
      <c r="K2804" s="17">
        <v>-96.814457000000004</v>
      </c>
      <c r="L2804" s="17" t="str">
        <f>HYPERLINK("https://maps.google.com/?q=17.788972,-96.814457", "🔗 Ver Mapa")</f>
        <v>🔗 Ver Mapa</v>
      </c>
    </row>
    <row r="2805" spans="1:12" ht="43.5" x14ac:dyDescent="0.35">
      <c r="A2805" s="5" t="s">
        <v>4</v>
      </c>
      <c r="B2805" s="5" t="s">
        <v>17</v>
      </c>
      <c r="C2805" s="5" t="s">
        <v>1422</v>
      </c>
      <c r="D2805" s="8" t="s">
        <v>64</v>
      </c>
      <c r="E2805" s="16" t="s">
        <v>164</v>
      </c>
      <c r="F2805" s="16" t="s">
        <v>165</v>
      </c>
      <c r="G2805" s="8" t="s">
        <v>191</v>
      </c>
      <c r="H2805" s="8" t="s">
        <v>192</v>
      </c>
      <c r="I2805" s="16" t="s">
        <v>296</v>
      </c>
      <c r="J2805" s="16">
        <v>17.789811</v>
      </c>
      <c r="K2805" s="16">
        <v>-96.815907999999993</v>
      </c>
      <c r="L2805" s="16" t="str">
        <f>HYPERLINK("https://maps.google.com/?q=17.789811,-96.815908", "🔗 Ver Mapa")</f>
        <v>🔗 Ver Mapa</v>
      </c>
    </row>
    <row r="2806" spans="1:12" ht="43.5" x14ac:dyDescent="0.35">
      <c r="A2806" s="6" t="s">
        <v>4</v>
      </c>
      <c r="B2806" s="6" t="s">
        <v>17</v>
      </c>
      <c r="C2806" s="6" t="s">
        <v>1422</v>
      </c>
      <c r="D2806" s="11" t="s">
        <v>64</v>
      </c>
      <c r="E2806" s="17" t="s">
        <v>164</v>
      </c>
      <c r="F2806" s="17" t="s">
        <v>165</v>
      </c>
      <c r="G2806" s="11" t="s">
        <v>191</v>
      </c>
      <c r="H2806" s="11" t="s">
        <v>192</v>
      </c>
      <c r="I2806" s="17" t="s">
        <v>296</v>
      </c>
      <c r="J2806" s="17">
        <v>17.789876</v>
      </c>
      <c r="K2806" s="17">
        <v>-96.816096000000002</v>
      </c>
      <c r="L2806" s="17" t="str">
        <f>HYPERLINK("https://maps.google.com/?q=17.789876,-96.816096", "🔗 Ver Mapa")</f>
        <v>🔗 Ver Mapa</v>
      </c>
    </row>
    <row r="2807" spans="1:12" ht="43.5" x14ac:dyDescent="0.35">
      <c r="A2807" s="5" t="s">
        <v>4</v>
      </c>
      <c r="B2807" s="5" t="s">
        <v>17</v>
      </c>
      <c r="C2807" s="5" t="s">
        <v>1422</v>
      </c>
      <c r="D2807" s="8" t="s">
        <v>64</v>
      </c>
      <c r="E2807" s="16" t="s">
        <v>164</v>
      </c>
      <c r="F2807" s="16" t="s">
        <v>165</v>
      </c>
      <c r="G2807" s="8" t="s">
        <v>191</v>
      </c>
      <c r="H2807" s="8" t="s">
        <v>192</v>
      </c>
      <c r="I2807" s="16" t="s">
        <v>296</v>
      </c>
      <c r="J2807" s="16">
        <v>17.790030999999999</v>
      </c>
      <c r="K2807" s="16">
        <v>-96.816264000000004</v>
      </c>
      <c r="L2807" s="16" t="str">
        <f>HYPERLINK("https://maps.google.com/?q=17.790031,-96.816264", "🔗 Ver Mapa")</f>
        <v>🔗 Ver Mapa</v>
      </c>
    </row>
    <row r="2808" spans="1:12" ht="43.5" x14ac:dyDescent="0.35">
      <c r="A2808" s="6" t="s">
        <v>4</v>
      </c>
      <c r="B2808" s="6" t="s">
        <v>17</v>
      </c>
      <c r="C2808" s="6" t="s">
        <v>1422</v>
      </c>
      <c r="D2808" s="11" t="s">
        <v>64</v>
      </c>
      <c r="E2808" s="17" t="s">
        <v>164</v>
      </c>
      <c r="F2808" s="17" t="s">
        <v>165</v>
      </c>
      <c r="G2808" s="11" t="s">
        <v>191</v>
      </c>
      <c r="H2808" s="11" t="s">
        <v>192</v>
      </c>
      <c r="I2808" s="17" t="s">
        <v>296</v>
      </c>
      <c r="J2808" s="17">
        <v>17.790320000000001</v>
      </c>
      <c r="K2808" s="17">
        <v>-96.816193999999996</v>
      </c>
      <c r="L2808" s="17" t="str">
        <f>HYPERLINK("https://maps.google.com/?q=17.79032,-96.816194", "🔗 Ver Mapa")</f>
        <v>🔗 Ver Mapa</v>
      </c>
    </row>
    <row r="2809" spans="1:12" ht="43.5" x14ac:dyDescent="0.35">
      <c r="A2809" s="5" t="s">
        <v>4</v>
      </c>
      <c r="B2809" s="5" t="s">
        <v>17</v>
      </c>
      <c r="C2809" s="5" t="s">
        <v>1422</v>
      </c>
      <c r="D2809" s="8" t="s">
        <v>64</v>
      </c>
      <c r="E2809" s="16" t="s">
        <v>164</v>
      </c>
      <c r="F2809" s="16" t="s">
        <v>165</v>
      </c>
      <c r="G2809" s="8" t="s">
        <v>191</v>
      </c>
      <c r="H2809" s="8" t="s">
        <v>192</v>
      </c>
      <c r="I2809" s="16" t="s">
        <v>296</v>
      </c>
      <c r="J2809" s="16">
        <v>17.790680999999999</v>
      </c>
      <c r="K2809" s="16">
        <v>-96.816226999999998</v>
      </c>
      <c r="L2809" s="16" t="str">
        <f>HYPERLINK("https://maps.google.com/?q=17.790681,-96.816227", "🔗 Ver Mapa")</f>
        <v>🔗 Ver Mapa</v>
      </c>
    </row>
    <row r="2810" spans="1:12" ht="43.5" x14ac:dyDescent="0.35">
      <c r="A2810" s="6" t="s">
        <v>4</v>
      </c>
      <c r="B2810" s="6" t="s">
        <v>17</v>
      </c>
      <c r="C2810" s="6" t="s">
        <v>1422</v>
      </c>
      <c r="D2810" s="11" t="s">
        <v>64</v>
      </c>
      <c r="E2810" s="17" t="s">
        <v>164</v>
      </c>
      <c r="F2810" s="17" t="s">
        <v>165</v>
      </c>
      <c r="G2810" s="11" t="s">
        <v>191</v>
      </c>
      <c r="H2810" s="11" t="s">
        <v>192</v>
      </c>
      <c r="I2810" s="17" t="s">
        <v>296</v>
      </c>
      <c r="J2810" s="17">
        <v>17.79091</v>
      </c>
      <c r="K2810" s="17">
        <v>-96.816441999999995</v>
      </c>
      <c r="L2810" s="17" t="str">
        <f>HYPERLINK("https://maps.google.com/?q=17.79091,-96.816442", "🔗 Ver Mapa")</f>
        <v>🔗 Ver Mapa</v>
      </c>
    </row>
    <row r="2811" spans="1:12" ht="43.5" x14ac:dyDescent="0.35">
      <c r="A2811" s="5" t="s">
        <v>4</v>
      </c>
      <c r="B2811" s="5" t="s">
        <v>17</v>
      </c>
      <c r="C2811" s="5" t="s">
        <v>1422</v>
      </c>
      <c r="D2811" s="8" t="s">
        <v>64</v>
      </c>
      <c r="E2811" s="16" t="s">
        <v>164</v>
      </c>
      <c r="F2811" s="16" t="s">
        <v>165</v>
      </c>
      <c r="G2811" s="8" t="s">
        <v>191</v>
      </c>
      <c r="H2811" s="8" t="s">
        <v>192</v>
      </c>
      <c r="I2811" s="16" t="s">
        <v>296</v>
      </c>
      <c r="J2811" s="16">
        <v>17.791111999999998</v>
      </c>
      <c r="K2811" s="16">
        <v>-96.816731000000004</v>
      </c>
      <c r="L2811" s="16" t="str">
        <f>HYPERLINK("https://maps.google.com/?q=17.791112,-96.816731", "🔗 Ver Mapa")</f>
        <v>🔗 Ver Mapa</v>
      </c>
    </row>
    <row r="2812" spans="1:12" ht="43.5" x14ac:dyDescent="0.35">
      <c r="A2812" s="6" t="s">
        <v>4</v>
      </c>
      <c r="B2812" s="6" t="s">
        <v>17</v>
      </c>
      <c r="C2812" s="6" t="s">
        <v>1422</v>
      </c>
      <c r="D2812" s="11" t="s">
        <v>64</v>
      </c>
      <c r="E2812" s="17" t="s">
        <v>164</v>
      </c>
      <c r="F2812" s="17" t="s">
        <v>165</v>
      </c>
      <c r="G2812" s="11" t="s">
        <v>191</v>
      </c>
      <c r="H2812" s="11" t="s">
        <v>192</v>
      </c>
      <c r="I2812" s="17" t="s">
        <v>296</v>
      </c>
      <c r="J2812" s="17">
        <v>17.791411</v>
      </c>
      <c r="K2812" s="17">
        <v>-96.816802999999993</v>
      </c>
      <c r="L2812" s="17" t="str">
        <f>HYPERLINK("https://maps.google.com/?q=17.791411,-96.816803", "🔗 Ver Mapa")</f>
        <v>🔗 Ver Mapa</v>
      </c>
    </row>
    <row r="2813" spans="1:12" ht="43.5" x14ac:dyDescent="0.35">
      <c r="A2813" s="5" t="s">
        <v>4</v>
      </c>
      <c r="B2813" s="5" t="s">
        <v>17</v>
      </c>
      <c r="C2813" s="5" t="s">
        <v>1422</v>
      </c>
      <c r="D2813" s="8" t="s">
        <v>64</v>
      </c>
      <c r="E2813" s="16" t="s">
        <v>164</v>
      </c>
      <c r="F2813" s="16" t="s">
        <v>165</v>
      </c>
      <c r="G2813" s="8" t="s">
        <v>191</v>
      </c>
      <c r="H2813" s="8" t="s">
        <v>192</v>
      </c>
      <c r="I2813" s="16" t="s">
        <v>296</v>
      </c>
      <c r="J2813" s="16">
        <v>17.791609999999999</v>
      </c>
      <c r="K2813" s="16">
        <v>-96.816867000000002</v>
      </c>
      <c r="L2813" s="16" t="str">
        <f>HYPERLINK("https://maps.google.com/?q=17.79161,-96.816867", "🔗 Ver Mapa")</f>
        <v>🔗 Ver Mapa</v>
      </c>
    </row>
    <row r="2814" spans="1:12" ht="43.5" x14ac:dyDescent="0.35">
      <c r="A2814" s="6" t="s">
        <v>4</v>
      </c>
      <c r="B2814" s="6" t="s">
        <v>17</v>
      </c>
      <c r="C2814" s="6" t="s">
        <v>1422</v>
      </c>
      <c r="D2814" s="11" t="s">
        <v>64</v>
      </c>
      <c r="E2814" s="17" t="s">
        <v>164</v>
      </c>
      <c r="F2814" s="17" t="s">
        <v>165</v>
      </c>
      <c r="G2814" s="11" t="s">
        <v>191</v>
      </c>
      <c r="H2814" s="11" t="s">
        <v>192</v>
      </c>
      <c r="I2814" s="17" t="s">
        <v>296</v>
      </c>
      <c r="J2814" s="17">
        <v>17.791962999999999</v>
      </c>
      <c r="K2814" s="17">
        <v>-96.816900000000004</v>
      </c>
      <c r="L2814" s="17" t="str">
        <f>HYPERLINK("https://maps.google.com/?q=17.791963,-96.8169", "🔗 Ver Mapa")</f>
        <v>🔗 Ver Mapa</v>
      </c>
    </row>
    <row r="2815" spans="1:12" ht="43.5" x14ac:dyDescent="0.35">
      <c r="A2815" s="5" t="s">
        <v>4</v>
      </c>
      <c r="B2815" s="5" t="s">
        <v>17</v>
      </c>
      <c r="C2815" s="5" t="s">
        <v>1422</v>
      </c>
      <c r="D2815" s="8" t="s">
        <v>64</v>
      </c>
      <c r="E2815" s="16" t="s">
        <v>164</v>
      </c>
      <c r="F2815" s="16" t="s">
        <v>165</v>
      </c>
      <c r="G2815" s="8" t="s">
        <v>191</v>
      </c>
      <c r="H2815" s="8" t="s">
        <v>192</v>
      </c>
      <c r="I2815" s="16" t="s">
        <v>296</v>
      </c>
      <c r="J2815" s="16">
        <v>17.792166999999999</v>
      </c>
      <c r="K2815" s="16">
        <v>-96.817379000000003</v>
      </c>
      <c r="L2815" s="16" t="str">
        <f>HYPERLINK("https://maps.google.com/?q=17.792167,-96.817379", "🔗 Ver Mapa")</f>
        <v>🔗 Ver Mapa</v>
      </c>
    </row>
    <row r="2816" spans="1:12" ht="43.5" x14ac:dyDescent="0.35">
      <c r="A2816" s="6" t="s">
        <v>4</v>
      </c>
      <c r="B2816" s="6" t="s">
        <v>17</v>
      </c>
      <c r="C2816" s="6" t="s">
        <v>1422</v>
      </c>
      <c r="D2816" s="11" t="s">
        <v>64</v>
      </c>
      <c r="E2816" s="17" t="s">
        <v>164</v>
      </c>
      <c r="F2816" s="17" t="s">
        <v>165</v>
      </c>
      <c r="G2816" s="11" t="s">
        <v>191</v>
      </c>
      <c r="H2816" s="11" t="s">
        <v>192</v>
      </c>
      <c r="I2816" s="17" t="s">
        <v>296</v>
      </c>
      <c r="J2816" s="17">
        <v>17.792864999999999</v>
      </c>
      <c r="K2816" s="17">
        <v>-96.817644000000001</v>
      </c>
      <c r="L2816" s="17" t="str">
        <f>HYPERLINK("https://maps.google.com/?q=17.792865,-96.817644", "🔗 Ver Mapa")</f>
        <v>🔗 Ver Mapa</v>
      </c>
    </row>
    <row r="2817" spans="1:12" ht="43.5" x14ac:dyDescent="0.35">
      <c r="A2817" s="5" t="s">
        <v>4</v>
      </c>
      <c r="B2817" s="5" t="s">
        <v>17</v>
      </c>
      <c r="C2817" s="5" t="s">
        <v>1422</v>
      </c>
      <c r="D2817" s="8" t="s">
        <v>64</v>
      </c>
      <c r="E2817" s="16" t="s">
        <v>164</v>
      </c>
      <c r="F2817" s="16" t="s">
        <v>165</v>
      </c>
      <c r="G2817" s="8" t="s">
        <v>191</v>
      </c>
      <c r="H2817" s="8" t="s">
        <v>192</v>
      </c>
      <c r="I2817" s="16" t="s">
        <v>296</v>
      </c>
      <c r="J2817" s="16">
        <v>17.793077</v>
      </c>
      <c r="K2817" s="16">
        <v>-96.818009000000004</v>
      </c>
      <c r="L2817" s="16" t="str">
        <f>HYPERLINK("https://maps.google.com/?q=17.793077,-96.818009", "🔗 Ver Mapa")</f>
        <v>🔗 Ver Mapa</v>
      </c>
    </row>
    <row r="2818" spans="1:12" ht="43.5" x14ac:dyDescent="0.35">
      <c r="A2818" s="6" t="s">
        <v>4</v>
      </c>
      <c r="B2818" s="6" t="s">
        <v>17</v>
      </c>
      <c r="C2818" s="6" t="s">
        <v>1422</v>
      </c>
      <c r="D2818" s="11" t="s">
        <v>64</v>
      </c>
      <c r="E2818" s="17" t="s">
        <v>164</v>
      </c>
      <c r="F2818" s="17" t="s">
        <v>165</v>
      </c>
      <c r="G2818" s="11" t="s">
        <v>191</v>
      </c>
      <c r="H2818" s="11" t="s">
        <v>192</v>
      </c>
      <c r="I2818" s="17" t="s">
        <v>296</v>
      </c>
      <c r="J2818" s="17">
        <v>17.795660999999999</v>
      </c>
      <c r="K2818" s="17">
        <v>-96.818033999999997</v>
      </c>
      <c r="L2818" s="17" t="str">
        <f>HYPERLINK("https://maps.google.com/?q=17.795661,-96.818034", "🔗 Ver Mapa")</f>
        <v>🔗 Ver Mapa</v>
      </c>
    </row>
    <row r="2819" spans="1:12" ht="43.5" x14ac:dyDescent="0.35">
      <c r="A2819" s="5" t="s">
        <v>4</v>
      </c>
      <c r="B2819" s="5" t="s">
        <v>17</v>
      </c>
      <c r="C2819" s="5" t="s">
        <v>1422</v>
      </c>
      <c r="D2819" s="8" t="s">
        <v>64</v>
      </c>
      <c r="E2819" s="16" t="s">
        <v>164</v>
      </c>
      <c r="F2819" s="16" t="s">
        <v>165</v>
      </c>
      <c r="G2819" s="8" t="s">
        <v>191</v>
      </c>
      <c r="H2819" s="8" t="s">
        <v>192</v>
      </c>
      <c r="I2819" s="16" t="s">
        <v>296</v>
      </c>
      <c r="J2819" s="16">
        <v>17.796447000000001</v>
      </c>
      <c r="K2819" s="16">
        <v>-96.818033999999997</v>
      </c>
      <c r="L2819" s="16" t="str">
        <f>HYPERLINK("https://maps.google.com/?q=17.796447,-96.818034", "🔗 Ver Mapa")</f>
        <v>🔗 Ver Mapa</v>
      </c>
    </row>
    <row r="2820" spans="1:12" ht="43.5" x14ac:dyDescent="0.35">
      <c r="A2820" s="6" t="s">
        <v>4</v>
      </c>
      <c r="B2820" s="6" t="s">
        <v>17</v>
      </c>
      <c r="C2820" s="6" t="s">
        <v>1422</v>
      </c>
      <c r="D2820" s="11" t="s">
        <v>64</v>
      </c>
      <c r="E2820" s="17" t="s">
        <v>164</v>
      </c>
      <c r="F2820" s="17" t="s">
        <v>165</v>
      </c>
      <c r="G2820" s="11" t="s">
        <v>191</v>
      </c>
      <c r="H2820" s="11" t="s">
        <v>192</v>
      </c>
      <c r="I2820" s="17" t="s">
        <v>296</v>
      </c>
      <c r="J2820" s="17">
        <v>17.796953999999999</v>
      </c>
      <c r="K2820" s="17">
        <v>-96.818179000000001</v>
      </c>
      <c r="L2820" s="17" t="str">
        <f>HYPERLINK("https://maps.google.com/?q=17.796954,-96.818179", "🔗 Ver Mapa")</f>
        <v>🔗 Ver Mapa</v>
      </c>
    </row>
    <row r="2821" spans="1:12" ht="43.5" x14ac:dyDescent="0.35">
      <c r="A2821" s="5" t="s">
        <v>4</v>
      </c>
      <c r="B2821" s="5" t="s">
        <v>17</v>
      </c>
      <c r="C2821" s="5" t="s">
        <v>1422</v>
      </c>
      <c r="D2821" s="8" t="s">
        <v>64</v>
      </c>
      <c r="E2821" s="16" t="s">
        <v>164</v>
      </c>
      <c r="F2821" s="16" t="s">
        <v>165</v>
      </c>
      <c r="G2821" s="8" t="s">
        <v>191</v>
      </c>
      <c r="H2821" s="8" t="s">
        <v>192</v>
      </c>
      <c r="I2821" s="16" t="s">
        <v>296</v>
      </c>
      <c r="J2821" s="16">
        <v>17.797854999999998</v>
      </c>
      <c r="K2821" s="16">
        <v>-96.817959999999999</v>
      </c>
      <c r="L2821" s="16" t="str">
        <f>HYPERLINK("https://maps.google.com/?q=17.797855,-96.81796", "🔗 Ver Mapa")</f>
        <v>🔗 Ver Mapa</v>
      </c>
    </row>
    <row r="2822" spans="1:12" ht="43.5" x14ac:dyDescent="0.35">
      <c r="A2822" s="6" t="s">
        <v>4</v>
      </c>
      <c r="B2822" s="6" t="s">
        <v>17</v>
      </c>
      <c r="C2822" s="6" t="s">
        <v>1422</v>
      </c>
      <c r="D2822" s="11" t="s">
        <v>64</v>
      </c>
      <c r="E2822" s="17" t="s">
        <v>164</v>
      </c>
      <c r="F2822" s="17" t="s">
        <v>165</v>
      </c>
      <c r="G2822" s="11" t="s">
        <v>191</v>
      </c>
      <c r="H2822" s="11" t="s">
        <v>192</v>
      </c>
      <c r="I2822" s="17" t="s">
        <v>296</v>
      </c>
      <c r="J2822" s="17">
        <v>17.799721999999999</v>
      </c>
      <c r="K2822" s="17">
        <v>-96.817635999999993</v>
      </c>
      <c r="L2822" s="17" t="str">
        <f>HYPERLINK("https://maps.google.com/?q=17.799722,-96.817636", "🔗 Ver Mapa")</f>
        <v>🔗 Ver Mapa</v>
      </c>
    </row>
    <row r="2823" spans="1:12" ht="43.5" x14ac:dyDescent="0.35">
      <c r="A2823" s="5" t="s">
        <v>4</v>
      </c>
      <c r="B2823" s="5" t="s">
        <v>17</v>
      </c>
      <c r="C2823" s="5" t="s">
        <v>1422</v>
      </c>
      <c r="D2823" s="8" t="s">
        <v>64</v>
      </c>
      <c r="E2823" s="16" t="s">
        <v>164</v>
      </c>
      <c r="F2823" s="16" t="s">
        <v>165</v>
      </c>
      <c r="G2823" s="8" t="s">
        <v>191</v>
      </c>
      <c r="H2823" s="8" t="s">
        <v>192</v>
      </c>
      <c r="I2823" s="16" t="s">
        <v>296</v>
      </c>
      <c r="J2823" s="16">
        <v>17.800305999999999</v>
      </c>
      <c r="K2823" s="16">
        <v>-96.817364999999995</v>
      </c>
      <c r="L2823" s="16" t="str">
        <f>HYPERLINK("https://maps.google.com/?q=17.800306,-96.817365", "🔗 Ver Mapa")</f>
        <v>🔗 Ver Mapa</v>
      </c>
    </row>
    <row r="2824" spans="1:12" ht="43.5" x14ac:dyDescent="0.35">
      <c r="A2824" s="6" t="s">
        <v>4</v>
      </c>
      <c r="B2824" s="6" t="s">
        <v>17</v>
      </c>
      <c r="C2824" s="6" t="s">
        <v>1422</v>
      </c>
      <c r="D2824" s="11" t="s">
        <v>64</v>
      </c>
      <c r="E2824" s="17" t="s">
        <v>164</v>
      </c>
      <c r="F2824" s="17" t="s">
        <v>165</v>
      </c>
      <c r="G2824" s="11" t="s">
        <v>191</v>
      </c>
      <c r="H2824" s="11" t="s">
        <v>192</v>
      </c>
      <c r="I2824" s="17" t="s">
        <v>296</v>
      </c>
      <c r="J2824" s="17">
        <v>17.801511999999999</v>
      </c>
      <c r="K2824" s="17">
        <v>-96.816963000000001</v>
      </c>
      <c r="L2824" s="17" t="str">
        <f>HYPERLINK("https://maps.google.com/?q=17.801512,-96.816963", "🔗 Ver Mapa")</f>
        <v>🔗 Ver Mapa</v>
      </c>
    </row>
    <row r="2825" spans="1:12" ht="43.5" x14ac:dyDescent="0.35">
      <c r="A2825" s="5" t="s">
        <v>4</v>
      </c>
      <c r="B2825" s="5" t="s">
        <v>17</v>
      </c>
      <c r="C2825" s="5" t="s">
        <v>1422</v>
      </c>
      <c r="D2825" s="8" t="s">
        <v>64</v>
      </c>
      <c r="E2825" s="16" t="s">
        <v>164</v>
      </c>
      <c r="F2825" s="16" t="s">
        <v>165</v>
      </c>
      <c r="G2825" s="8" t="s">
        <v>191</v>
      </c>
      <c r="H2825" s="8" t="s">
        <v>192</v>
      </c>
      <c r="I2825" s="16" t="s">
        <v>296</v>
      </c>
      <c r="J2825" s="16">
        <v>17.801848</v>
      </c>
      <c r="K2825" s="16">
        <v>-96.817128999999994</v>
      </c>
      <c r="L2825" s="16" t="str">
        <f>HYPERLINK("https://maps.google.com/?q=17.801848,-96.817129", "🔗 Ver Mapa")</f>
        <v>🔗 Ver Mapa</v>
      </c>
    </row>
    <row r="2826" spans="1:12" ht="43.5" x14ac:dyDescent="0.35">
      <c r="A2826" s="6" t="s">
        <v>4</v>
      </c>
      <c r="B2826" s="6" t="s">
        <v>17</v>
      </c>
      <c r="C2826" s="6" t="s">
        <v>1422</v>
      </c>
      <c r="D2826" s="11" t="s">
        <v>64</v>
      </c>
      <c r="E2826" s="17" t="s">
        <v>164</v>
      </c>
      <c r="F2826" s="17" t="s">
        <v>165</v>
      </c>
      <c r="G2826" s="11" t="s">
        <v>191</v>
      </c>
      <c r="H2826" s="11" t="s">
        <v>192</v>
      </c>
      <c r="I2826" s="17" t="s">
        <v>296</v>
      </c>
      <c r="J2826" s="17">
        <v>17.802508</v>
      </c>
      <c r="K2826" s="17">
        <v>-96.817128999999994</v>
      </c>
      <c r="L2826" s="17" t="str">
        <f>HYPERLINK("https://maps.google.com/?q=17.802508,-96.817129", "🔗 Ver Mapa")</f>
        <v>🔗 Ver Mapa</v>
      </c>
    </row>
    <row r="2827" spans="1:12" ht="43.5" x14ac:dyDescent="0.35">
      <c r="A2827" s="5" t="s">
        <v>1</v>
      </c>
      <c r="B2827" s="5" t="s">
        <v>14</v>
      </c>
      <c r="C2827" s="5" t="s">
        <v>1423</v>
      </c>
      <c r="D2827" s="8" t="s">
        <v>61</v>
      </c>
      <c r="E2827" s="16" t="s">
        <v>79</v>
      </c>
      <c r="F2827" s="16" t="s">
        <v>195</v>
      </c>
      <c r="G2827" s="8" t="s">
        <v>1376</v>
      </c>
      <c r="H2827" s="8" t="s">
        <v>1424</v>
      </c>
      <c r="I2827" s="16" t="s">
        <v>138</v>
      </c>
      <c r="J2827" s="16">
        <v>16.514278999999998</v>
      </c>
      <c r="K2827" s="16">
        <v>-96.490263999999996</v>
      </c>
      <c r="L2827" s="16" t="str">
        <f>HYPERLINK("https://maps.google.com/?q=16.514279,-96.490264", "🔗 Ver Mapa")</f>
        <v>🔗 Ver Mapa</v>
      </c>
    </row>
    <row r="2828" spans="1:12" ht="58" x14ac:dyDescent="0.35">
      <c r="A2828" s="6" t="s">
        <v>1</v>
      </c>
      <c r="B2828" s="6" t="s">
        <v>14</v>
      </c>
      <c r="C2828" s="6" t="s">
        <v>1425</v>
      </c>
      <c r="D2828" s="11" t="s">
        <v>61</v>
      </c>
      <c r="E2828" s="17" t="s">
        <v>164</v>
      </c>
      <c r="F2828" s="17" t="s">
        <v>165</v>
      </c>
      <c r="G2828" s="11" t="s">
        <v>1238</v>
      </c>
      <c r="H2828" s="11" t="s">
        <v>1426</v>
      </c>
      <c r="I2828" s="17" t="s">
        <v>138</v>
      </c>
      <c r="J2828" s="17">
        <v>17.701900999999999</v>
      </c>
      <c r="K2828" s="17">
        <v>-96.784904999999995</v>
      </c>
      <c r="L2828" s="17" t="str">
        <f>HYPERLINK("https://maps.google.com/?q=17.701901,-96.784905", "🔗 Ver Mapa")</f>
        <v>🔗 Ver Mapa</v>
      </c>
    </row>
    <row r="2829" spans="1:12" ht="43.5" x14ac:dyDescent="0.35">
      <c r="A2829" s="5" t="s">
        <v>270</v>
      </c>
      <c r="B2829" s="5" t="s">
        <v>271</v>
      </c>
      <c r="C2829" s="5" t="s">
        <v>1427</v>
      </c>
      <c r="D2829" s="8" t="s">
        <v>273</v>
      </c>
      <c r="E2829" s="16" t="s">
        <v>73</v>
      </c>
      <c r="F2829" s="16" t="s">
        <v>187</v>
      </c>
      <c r="G2829" s="8" t="s">
        <v>1428</v>
      </c>
      <c r="H2829" s="8" t="s">
        <v>1429</v>
      </c>
      <c r="I2829" s="16" t="s">
        <v>138</v>
      </c>
      <c r="J2829" s="16"/>
      <c r="K2829" s="16">
        <v>-97.362695823069998</v>
      </c>
      <c r="L2829" s="16" t="e">
        <f>HYPERLINK("", "🔗 Ver Mapa")</f>
        <v>#REF!</v>
      </c>
    </row>
    <row r="2830" spans="1:12" ht="43.5" x14ac:dyDescent="0.35">
      <c r="A2830" s="6" t="s">
        <v>270</v>
      </c>
      <c r="B2830" s="6" t="s">
        <v>271</v>
      </c>
      <c r="C2830" s="6" t="s">
        <v>1427</v>
      </c>
      <c r="D2830" s="11" t="s">
        <v>273</v>
      </c>
      <c r="E2830" s="17" t="s">
        <v>73</v>
      </c>
      <c r="F2830" s="17" t="s">
        <v>187</v>
      </c>
      <c r="G2830" s="11" t="s">
        <v>1428</v>
      </c>
      <c r="H2830" s="11" t="s">
        <v>1429</v>
      </c>
      <c r="I2830" s="17" t="s">
        <v>138</v>
      </c>
      <c r="J2830" s="17"/>
      <c r="K2830" s="17">
        <v>-97.370157728551007</v>
      </c>
      <c r="L2830" s="17" t="e">
        <f>HYPERLINK("", "🔗 Ver Mapa")</f>
        <v>#REF!</v>
      </c>
    </row>
    <row r="2831" spans="1:12" ht="43.5" x14ac:dyDescent="0.35">
      <c r="A2831" s="5" t="s">
        <v>270</v>
      </c>
      <c r="B2831" s="5" t="s">
        <v>271</v>
      </c>
      <c r="C2831" s="5" t="s">
        <v>1427</v>
      </c>
      <c r="D2831" s="8" t="s">
        <v>273</v>
      </c>
      <c r="E2831" s="16" t="s">
        <v>73</v>
      </c>
      <c r="F2831" s="16" t="s">
        <v>187</v>
      </c>
      <c r="G2831" s="8" t="s">
        <v>1428</v>
      </c>
      <c r="H2831" s="8" t="s">
        <v>1429</v>
      </c>
      <c r="I2831" s="16" t="s">
        <v>138</v>
      </c>
      <c r="J2831" s="16">
        <v>17.276609363289001</v>
      </c>
      <c r="K2831" s="16">
        <v>-97.365623454211999</v>
      </c>
      <c r="L2831" s="16" t="str">
        <f>HYPERLINK("https://maps.google.com/?q=17.276609363289,-97.365623454212", "🔗 Ver Mapa")</f>
        <v>🔗 Ver Mapa</v>
      </c>
    </row>
    <row r="2832" spans="1:12" ht="43.5" x14ac:dyDescent="0.35">
      <c r="A2832" s="6" t="s">
        <v>270</v>
      </c>
      <c r="B2832" s="6" t="s">
        <v>271</v>
      </c>
      <c r="C2832" s="6" t="s">
        <v>1427</v>
      </c>
      <c r="D2832" s="11" t="s">
        <v>273</v>
      </c>
      <c r="E2832" s="17" t="s">
        <v>73</v>
      </c>
      <c r="F2832" s="17" t="s">
        <v>187</v>
      </c>
      <c r="G2832" s="11" t="s">
        <v>1428</v>
      </c>
      <c r="H2832" s="11" t="s">
        <v>1429</v>
      </c>
      <c r="I2832" s="17" t="s">
        <v>138</v>
      </c>
      <c r="J2832" s="17">
        <v>17.27746736109</v>
      </c>
      <c r="K2832" s="17">
        <v>-97.370581517575005</v>
      </c>
      <c r="L2832" s="17" t="str">
        <f>HYPERLINK("https://maps.google.com/?q=17.27746736109,-97.370581517575", "🔗 Ver Mapa")</f>
        <v>🔗 Ver Mapa</v>
      </c>
    </row>
    <row r="2833" spans="1:12" ht="43.5" x14ac:dyDescent="0.35">
      <c r="A2833" s="5" t="s">
        <v>270</v>
      </c>
      <c r="B2833" s="5" t="s">
        <v>271</v>
      </c>
      <c r="C2833" s="5" t="s">
        <v>1427</v>
      </c>
      <c r="D2833" s="8" t="s">
        <v>273</v>
      </c>
      <c r="E2833" s="16" t="s">
        <v>73</v>
      </c>
      <c r="F2833" s="16" t="s">
        <v>187</v>
      </c>
      <c r="G2833" s="8" t="s">
        <v>1428</v>
      </c>
      <c r="H2833" s="8" t="s">
        <v>1429</v>
      </c>
      <c r="I2833" s="16" t="s">
        <v>138</v>
      </c>
      <c r="J2833" s="16">
        <v>17.277857954927999</v>
      </c>
      <c r="K2833" s="16">
        <v>-97.369850323617996</v>
      </c>
      <c r="L2833" s="16" t="str">
        <f>HYPERLINK("https://maps.google.com/?q=17.277857954928,-97.369850323618", "🔗 Ver Mapa")</f>
        <v>🔗 Ver Mapa</v>
      </c>
    </row>
    <row r="2834" spans="1:12" ht="43.5" x14ac:dyDescent="0.35">
      <c r="A2834" s="6" t="s">
        <v>270</v>
      </c>
      <c r="B2834" s="6" t="s">
        <v>271</v>
      </c>
      <c r="C2834" s="6" t="s">
        <v>1427</v>
      </c>
      <c r="D2834" s="11" t="s">
        <v>273</v>
      </c>
      <c r="E2834" s="17" t="s">
        <v>73</v>
      </c>
      <c r="F2834" s="17" t="s">
        <v>187</v>
      </c>
      <c r="G2834" s="11" t="s">
        <v>1428</v>
      </c>
      <c r="H2834" s="11" t="s">
        <v>1429</v>
      </c>
      <c r="I2834" s="17" t="s">
        <v>138</v>
      </c>
      <c r="J2834" s="17">
        <v>17.278832465775</v>
      </c>
      <c r="K2834" s="17"/>
      <c r="L2834" s="17" t="e">
        <f>HYPERLINK("", "🔗 Ver Mapa")</f>
        <v>#REF!</v>
      </c>
    </row>
    <row r="2835" spans="1:12" ht="43.5" x14ac:dyDescent="0.35">
      <c r="A2835" s="5" t="s">
        <v>270</v>
      </c>
      <c r="B2835" s="5" t="s">
        <v>271</v>
      </c>
      <c r="C2835" s="5" t="s">
        <v>1427</v>
      </c>
      <c r="D2835" s="8" t="s">
        <v>273</v>
      </c>
      <c r="E2835" s="16" t="s">
        <v>73</v>
      </c>
      <c r="F2835" s="16" t="s">
        <v>187</v>
      </c>
      <c r="G2835" s="8" t="s">
        <v>1428</v>
      </c>
      <c r="H2835" s="8" t="s">
        <v>1429</v>
      </c>
      <c r="I2835" s="16" t="s">
        <v>138</v>
      </c>
      <c r="J2835" s="16">
        <v>17.279025833443999</v>
      </c>
      <c r="K2835" s="16">
        <v>-97.369276622887</v>
      </c>
      <c r="L2835" s="16" t="str">
        <f>HYPERLINK("https://maps.google.com/?q=17.279025833444,-97.369276622887", "🔗 Ver Mapa")</f>
        <v>🔗 Ver Mapa</v>
      </c>
    </row>
    <row r="2836" spans="1:12" ht="43.5" x14ac:dyDescent="0.35">
      <c r="A2836" s="6" t="s">
        <v>270</v>
      </c>
      <c r="B2836" s="6" t="s">
        <v>271</v>
      </c>
      <c r="C2836" s="6" t="s">
        <v>1427</v>
      </c>
      <c r="D2836" s="11" t="s">
        <v>273</v>
      </c>
      <c r="E2836" s="17" t="s">
        <v>73</v>
      </c>
      <c r="F2836" s="17" t="s">
        <v>187</v>
      </c>
      <c r="G2836" s="11" t="s">
        <v>1428</v>
      </c>
      <c r="H2836" s="11" t="s">
        <v>1429</v>
      </c>
      <c r="I2836" s="17" t="s">
        <v>138</v>
      </c>
      <c r="J2836" s="17">
        <v>17.279482999904999</v>
      </c>
      <c r="K2836" s="17">
        <v>-97.366230974551996</v>
      </c>
      <c r="L2836" s="17" t="str">
        <f>HYPERLINK("https://maps.google.com/?q=17.279482999905,-97.366230974552", "🔗 Ver Mapa")</f>
        <v>🔗 Ver Mapa</v>
      </c>
    </row>
    <row r="2837" spans="1:12" ht="43.5" x14ac:dyDescent="0.35">
      <c r="A2837" s="5" t="s">
        <v>270</v>
      </c>
      <c r="B2837" s="5" t="s">
        <v>271</v>
      </c>
      <c r="C2837" s="5" t="s">
        <v>1427</v>
      </c>
      <c r="D2837" s="8" t="s">
        <v>273</v>
      </c>
      <c r="E2837" s="16" t="s">
        <v>73</v>
      </c>
      <c r="F2837" s="16" t="s">
        <v>187</v>
      </c>
      <c r="G2837" s="8" t="s">
        <v>1428</v>
      </c>
      <c r="H2837" s="8" t="s">
        <v>1429</v>
      </c>
      <c r="I2837" s="16" t="s">
        <v>138</v>
      </c>
      <c r="J2837" s="16">
        <v>17.279890222858999</v>
      </c>
      <c r="K2837" s="16">
        <v>-97.369433532113007</v>
      </c>
      <c r="L2837" s="16" t="str">
        <f>HYPERLINK("https://maps.google.com/?q=17.279890222859,-97.369433532113", "🔗 Ver Mapa")</f>
        <v>🔗 Ver Mapa</v>
      </c>
    </row>
    <row r="2838" spans="1:12" ht="43.5" x14ac:dyDescent="0.35">
      <c r="A2838" s="6" t="s">
        <v>270</v>
      </c>
      <c r="B2838" s="6" t="s">
        <v>271</v>
      </c>
      <c r="C2838" s="6" t="s">
        <v>1427</v>
      </c>
      <c r="D2838" s="11" t="s">
        <v>273</v>
      </c>
      <c r="E2838" s="17" t="s">
        <v>73</v>
      </c>
      <c r="F2838" s="17" t="s">
        <v>187</v>
      </c>
      <c r="G2838" s="11" t="s">
        <v>1428</v>
      </c>
      <c r="H2838" s="11" t="s">
        <v>1429</v>
      </c>
      <c r="I2838" s="17" t="s">
        <v>138</v>
      </c>
      <c r="J2838" s="17">
        <v>17.280214000000001</v>
      </c>
      <c r="K2838" s="17">
        <v>-97.371713999999997</v>
      </c>
      <c r="L2838" s="17" t="str">
        <f>HYPERLINK("https://maps.google.com/?q=17.280214,-97.371714", "🔗 Ver Mapa")</f>
        <v>🔗 Ver Mapa</v>
      </c>
    </row>
    <row r="2839" spans="1:12" ht="43.5" x14ac:dyDescent="0.35">
      <c r="A2839" s="5" t="s">
        <v>270</v>
      </c>
      <c r="B2839" s="5" t="s">
        <v>271</v>
      </c>
      <c r="C2839" s="5" t="s">
        <v>1427</v>
      </c>
      <c r="D2839" s="8" t="s">
        <v>273</v>
      </c>
      <c r="E2839" s="16" t="s">
        <v>73</v>
      </c>
      <c r="F2839" s="16" t="s">
        <v>187</v>
      </c>
      <c r="G2839" s="8" t="s">
        <v>1428</v>
      </c>
      <c r="H2839" s="8" t="s">
        <v>1429</v>
      </c>
      <c r="I2839" s="16" t="s">
        <v>138</v>
      </c>
      <c r="J2839" s="16">
        <v>17.280527947561001</v>
      </c>
      <c r="K2839" s="16">
        <v>-97.364956925273006</v>
      </c>
      <c r="L2839" s="16" t="str">
        <f>HYPERLINK("https://maps.google.com/?q=17.280527947561,-97.364956925273", "🔗 Ver Mapa")</f>
        <v>🔗 Ver Mapa</v>
      </c>
    </row>
    <row r="2840" spans="1:12" ht="43.5" x14ac:dyDescent="0.35">
      <c r="A2840" s="6" t="s">
        <v>270</v>
      </c>
      <c r="B2840" s="6" t="s">
        <v>271</v>
      </c>
      <c r="C2840" s="6" t="s">
        <v>1427</v>
      </c>
      <c r="D2840" s="11" t="s">
        <v>273</v>
      </c>
      <c r="E2840" s="17" t="s">
        <v>73</v>
      </c>
      <c r="F2840" s="17" t="s">
        <v>187</v>
      </c>
      <c r="G2840" s="11" t="s">
        <v>1428</v>
      </c>
      <c r="H2840" s="11" t="s">
        <v>1429</v>
      </c>
      <c r="I2840" s="17" t="s">
        <v>138</v>
      </c>
      <c r="J2840" s="17">
        <v>17.280606062282999</v>
      </c>
      <c r="K2840" s="17">
        <v>-97.370277086854003</v>
      </c>
      <c r="L2840" s="17" t="str">
        <f>HYPERLINK("https://maps.google.com/?q=17.280606062283,-97.370277086854", "🔗 Ver Mapa")</f>
        <v>🔗 Ver Mapa</v>
      </c>
    </row>
    <row r="2841" spans="1:12" ht="43.5" x14ac:dyDescent="0.35">
      <c r="A2841" s="5" t="s">
        <v>270</v>
      </c>
      <c r="B2841" s="5" t="s">
        <v>271</v>
      </c>
      <c r="C2841" s="5" t="s">
        <v>1427</v>
      </c>
      <c r="D2841" s="8" t="s">
        <v>273</v>
      </c>
      <c r="E2841" s="16" t="s">
        <v>73</v>
      </c>
      <c r="F2841" s="16" t="s">
        <v>187</v>
      </c>
      <c r="G2841" s="8" t="s">
        <v>1428</v>
      </c>
      <c r="H2841" s="8" t="s">
        <v>1429</v>
      </c>
      <c r="I2841" s="16" t="s">
        <v>138</v>
      </c>
      <c r="J2841" s="16">
        <v>17.280666407797</v>
      </c>
      <c r="K2841" s="16">
        <v>-97.373634873618002</v>
      </c>
      <c r="L2841" s="16" t="str">
        <f>HYPERLINK("https://maps.google.com/?q=17.280666407797,-97.373634873618", "🔗 Ver Mapa")</f>
        <v>🔗 Ver Mapa</v>
      </c>
    </row>
    <row r="2842" spans="1:12" ht="43.5" x14ac:dyDescent="0.35">
      <c r="A2842" s="6" t="s">
        <v>270</v>
      </c>
      <c r="B2842" s="6" t="s">
        <v>271</v>
      </c>
      <c r="C2842" s="6" t="s">
        <v>1427</v>
      </c>
      <c r="D2842" s="11" t="s">
        <v>273</v>
      </c>
      <c r="E2842" s="17" t="s">
        <v>73</v>
      </c>
      <c r="F2842" s="17" t="s">
        <v>187</v>
      </c>
      <c r="G2842" s="11" t="s">
        <v>1428</v>
      </c>
      <c r="H2842" s="11" t="s">
        <v>1429</v>
      </c>
      <c r="I2842" s="17" t="s">
        <v>138</v>
      </c>
      <c r="J2842" s="17">
        <v>17.280691860381001</v>
      </c>
      <c r="K2842" s="17">
        <v>-97.374221275210004</v>
      </c>
      <c r="L2842" s="17" t="str">
        <f>HYPERLINK("https://maps.google.com/?q=17.280691860381,-97.37422127521", "🔗 Ver Mapa")</f>
        <v>🔗 Ver Mapa</v>
      </c>
    </row>
    <row r="2843" spans="1:12" ht="43.5" x14ac:dyDescent="0.35">
      <c r="A2843" s="5" t="s">
        <v>270</v>
      </c>
      <c r="B2843" s="5" t="s">
        <v>271</v>
      </c>
      <c r="C2843" s="5" t="s">
        <v>1427</v>
      </c>
      <c r="D2843" s="8" t="s">
        <v>273</v>
      </c>
      <c r="E2843" s="16" t="s">
        <v>73</v>
      </c>
      <c r="F2843" s="16" t="s">
        <v>187</v>
      </c>
      <c r="G2843" s="8" t="s">
        <v>1428</v>
      </c>
      <c r="H2843" s="8" t="s">
        <v>1429</v>
      </c>
      <c r="I2843" s="16" t="s">
        <v>138</v>
      </c>
      <c r="J2843" s="16">
        <v>17.280843607666</v>
      </c>
      <c r="K2843" s="16">
        <v>-97.373504454851997</v>
      </c>
      <c r="L2843" s="16" t="str">
        <f>HYPERLINK("https://maps.google.com/?q=17.280843607666,-97.373504454852", "🔗 Ver Mapa")</f>
        <v>🔗 Ver Mapa</v>
      </c>
    </row>
    <row r="2844" spans="1:12" ht="43.5" x14ac:dyDescent="0.35">
      <c r="A2844" s="6" t="s">
        <v>270</v>
      </c>
      <c r="B2844" s="6" t="s">
        <v>271</v>
      </c>
      <c r="C2844" s="6" t="s">
        <v>1427</v>
      </c>
      <c r="D2844" s="11" t="s">
        <v>273</v>
      </c>
      <c r="E2844" s="17" t="s">
        <v>73</v>
      </c>
      <c r="F2844" s="17" t="s">
        <v>187</v>
      </c>
      <c r="G2844" s="11" t="s">
        <v>1428</v>
      </c>
      <c r="H2844" s="11" t="s">
        <v>1429</v>
      </c>
      <c r="I2844" s="17" t="s">
        <v>138</v>
      </c>
      <c r="J2844" s="17">
        <v>17.281344949072</v>
      </c>
      <c r="K2844" s="17">
        <v>-97.367551962491007</v>
      </c>
      <c r="L2844" s="17" t="str">
        <f>HYPERLINK("https://maps.google.com/?q=17.281344949072,-97.367551962491", "🔗 Ver Mapa")</f>
        <v>🔗 Ver Mapa</v>
      </c>
    </row>
    <row r="2845" spans="1:12" ht="43.5" x14ac:dyDescent="0.35">
      <c r="A2845" s="5" t="s">
        <v>270</v>
      </c>
      <c r="B2845" s="5" t="s">
        <v>271</v>
      </c>
      <c r="C2845" s="5" t="s">
        <v>1427</v>
      </c>
      <c r="D2845" s="8" t="s">
        <v>273</v>
      </c>
      <c r="E2845" s="16" t="s">
        <v>73</v>
      </c>
      <c r="F2845" s="16" t="s">
        <v>187</v>
      </c>
      <c r="G2845" s="8" t="s">
        <v>1428</v>
      </c>
      <c r="H2845" s="8" t="s">
        <v>1429</v>
      </c>
      <c r="I2845" s="16" t="s">
        <v>138</v>
      </c>
      <c r="J2845" s="16">
        <v>17.281481969348999</v>
      </c>
      <c r="K2845" s="16"/>
      <c r="L2845" s="16" t="e">
        <f>HYPERLINK("", "🔗 Ver Mapa")</f>
        <v>#REF!</v>
      </c>
    </row>
    <row r="2846" spans="1:12" ht="43.5" x14ac:dyDescent="0.35">
      <c r="A2846" s="6" t="s">
        <v>270</v>
      </c>
      <c r="B2846" s="6" t="s">
        <v>271</v>
      </c>
      <c r="C2846" s="6" t="s">
        <v>1427</v>
      </c>
      <c r="D2846" s="11" t="s">
        <v>273</v>
      </c>
      <c r="E2846" s="17" t="s">
        <v>73</v>
      </c>
      <c r="F2846" s="17" t="s">
        <v>187</v>
      </c>
      <c r="G2846" s="11" t="s">
        <v>1428</v>
      </c>
      <c r="H2846" s="11" t="s">
        <v>1429</v>
      </c>
      <c r="I2846" s="17" t="s">
        <v>138</v>
      </c>
      <c r="J2846" s="17">
        <v>17.281862296119002</v>
      </c>
      <c r="K2846" s="17">
        <v>-97.373199353573995</v>
      </c>
      <c r="L2846" s="17" t="str">
        <f>HYPERLINK("https://maps.google.com/?q=17.281862296119,-97.373199353574", "🔗 Ver Mapa")</f>
        <v>🔗 Ver Mapa</v>
      </c>
    </row>
    <row r="2847" spans="1:12" ht="43.5" x14ac:dyDescent="0.35">
      <c r="A2847" s="5" t="s">
        <v>270</v>
      </c>
      <c r="B2847" s="5" t="s">
        <v>271</v>
      </c>
      <c r="C2847" s="5" t="s">
        <v>1427</v>
      </c>
      <c r="D2847" s="8" t="s">
        <v>273</v>
      </c>
      <c r="E2847" s="16" t="s">
        <v>73</v>
      </c>
      <c r="F2847" s="16" t="s">
        <v>187</v>
      </c>
      <c r="G2847" s="8" t="s">
        <v>1428</v>
      </c>
      <c r="H2847" s="8" t="s">
        <v>1429</v>
      </c>
      <c r="I2847" s="16" t="s">
        <v>138</v>
      </c>
      <c r="J2847" s="16">
        <v>17.281887907320002</v>
      </c>
      <c r="K2847" s="16">
        <v>-97.375923136826003</v>
      </c>
      <c r="L2847" s="16" t="str">
        <f>HYPERLINK("https://maps.google.com/?q=17.28188790732,-97.375923136826", "🔗 Ver Mapa")</f>
        <v>🔗 Ver Mapa</v>
      </c>
    </row>
    <row r="2848" spans="1:12" ht="43.5" x14ac:dyDescent="0.35">
      <c r="A2848" s="6" t="s">
        <v>270</v>
      </c>
      <c r="B2848" s="6" t="s">
        <v>271</v>
      </c>
      <c r="C2848" s="6" t="s">
        <v>1427</v>
      </c>
      <c r="D2848" s="11" t="s">
        <v>273</v>
      </c>
      <c r="E2848" s="17" t="s">
        <v>73</v>
      </c>
      <c r="F2848" s="17" t="s">
        <v>187</v>
      </c>
      <c r="G2848" s="11" t="s">
        <v>1428</v>
      </c>
      <c r="H2848" s="11" t="s">
        <v>1429</v>
      </c>
      <c r="I2848" s="17" t="s">
        <v>138</v>
      </c>
      <c r="J2848" s="17">
        <v>17.282021566855001</v>
      </c>
      <c r="K2848" s="17">
        <v>-97.375137253312005</v>
      </c>
      <c r="L2848" s="17" t="str">
        <f>HYPERLINK("https://maps.google.com/?q=17.282021566855,-97.375137253312", "🔗 Ver Mapa")</f>
        <v>🔗 Ver Mapa</v>
      </c>
    </row>
    <row r="2849" spans="1:12" ht="43.5" x14ac:dyDescent="0.35">
      <c r="A2849" s="5" t="s">
        <v>270</v>
      </c>
      <c r="B2849" s="5" t="s">
        <v>271</v>
      </c>
      <c r="C2849" s="5" t="s">
        <v>1427</v>
      </c>
      <c r="D2849" s="8" t="s">
        <v>273</v>
      </c>
      <c r="E2849" s="16" t="s">
        <v>73</v>
      </c>
      <c r="F2849" s="16" t="s">
        <v>187</v>
      </c>
      <c r="G2849" s="8" t="s">
        <v>1428</v>
      </c>
      <c r="H2849" s="8" t="s">
        <v>1429</v>
      </c>
      <c r="I2849" s="16" t="s">
        <v>138</v>
      </c>
      <c r="J2849" s="16">
        <v>17.282541524313999</v>
      </c>
      <c r="K2849" s="16"/>
      <c r="L2849" s="16" t="e">
        <f>HYPERLINK("", "🔗 Ver Mapa")</f>
        <v>#REF!</v>
      </c>
    </row>
    <row r="2850" spans="1:12" ht="43.5" x14ac:dyDescent="0.35">
      <c r="A2850" s="6" t="s">
        <v>270</v>
      </c>
      <c r="B2850" s="6" t="s">
        <v>271</v>
      </c>
      <c r="C2850" s="6" t="s">
        <v>1427</v>
      </c>
      <c r="D2850" s="11" t="s">
        <v>273</v>
      </c>
      <c r="E2850" s="17" t="s">
        <v>73</v>
      </c>
      <c r="F2850" s="17" t="s">
        <v>187</v>
      </c>
      <c r="G2850" s="11" t="s">
        <v>1428</v>
      </c>
      <c r="H2850" s="11" t="s">
        <v>1429</v>
      </c>
      <c r="I2850" s="17" t="s">
        <v>138</v>
      </c>
      <c r="J2850" s="17">
        <v>17.282794541583002</v>
      </c>
      <c r="K2850" s="17">
        <v>-97.361891160366</v>
      </c>
      <c r="L2850" s="17" t="str">
        <f>HYPERLINK("https://maps.google.com/?q=17.282794541583,-97.361891160366", "🔗 Ver Mapa")</f>
        <v>🔗 Ver Mapa</v>
      </c>
    </row>
    <row r="2851" spans="1:12" ht="43.5" x14ac:dyDescent="0.35">
      <c r="A2851" s="5" t="s">
        <v>270</v>
      </c>
      <c r="B2851" s="5" t="s">
        <v>271</v>
      </c>
      <c r="C2851" s="5" t="s">
        <v>1427</v>
      </c>
      <c r="D2851" s="8" t="s">
        <v>273</v>
      </c>
      <c r="E2851" s="16" t="s">
        <v>73</v>
      </c>
      <c r="F2851" s="16" t="s">
        <v>187</v>
      </c>
      <c r="G2851" s="8" t="s">
        <v>1428</v>
      </c>
      <c r="H2851" s="8" t="s">
        <v>1429</v>
      </c>
      <c r="I2851" s="16" t="s">
        <v>138</v>
      </c>
      <c r="J2851" s="16">
        <v>17.282952000000002</v>
      </c>
      <c r="K2851" s="16">
        <v>-97.364328</v>
      </c>
      <c r="L2851" s="16" t="str">
        <f>HYPERLINK("https://maps.google.com/?q=17.282952,-97.364328", "🔗 Ver Mapa")</f>
        <v>🔗 Ver Mapa</v>
      </c>
    </row>
    <row r="2852" spans="1:12" ht="43.5" x14ac:dyDescent="0.35">
      <c r="A2852" s="6" t="s">
        <v>270</v>
      </c>
      <c r="B2852" s="6" t="s">
        <v>271</v>
      </c>
      <c r="C2852" s="6" t="s">
        <v>1427</v>
      </c>
      <c r="D2852" s="11" t="s">
        <v>273</v>
      </c>
      <c r="E2852" s="17" t="s">
        <v>73</v>
      </c>
      <c r="F2852" s="17" t="s">
        <v>187</v>
      </c>
      <c r="G2852" s="11" t="s">
        <v>1428</v>
      </c>
      <c r="H2852" s="11" t="s">
        <v>1429</v>
      </c>
      <c r="I2852" s="17" t="s">
        <v>138</v>
      </c>
      <c r="J2852" s="17">
        <v>17.283363106553999</v>
      </c>
      <c r="K2852" s="17">
        <v>-97.376098821517999</v>
      </c>
      <c r="L2852" s="17" t="str">
        <f>HYPERLINK("https://maps.google.com/?q=17.283363106554,-97.376098821518", "🔗 Ver Mapa")</f>
        <v>🔗 Ver Mapa</v>
      </c>
    </row>
    <row r="2853" spans="1:12" ht="43.5" x14ac:dyDescent="0.35">
      <c r="A2853" s="5" t="s">
        <v>270</v>
      </c>
      <c r="B2853" s="5" t="s">
        <v>271</v>
      </c>
      <c r="C2853" s="5" t="s">
        <v>1427</v>
      </c>
      <c r="D2853" s="8" t="s">
        <v>273</v>
      </c>
      <c r="E2853" s="16" t="s">
        <v>73</v>
      </c>
      <c r="F2853" s="16" t="s">
        <v>187</v>
      </c>
      <c r="G2853" s="8" t="s">
        <v>1428</v>
      </c>
      <c r="H2853" s="8" t="s">
        <v>1429</v>
      </c>
      <c r="I2853" s="16" t="s">
        <v>138</v>
      </c>
      <c r="J2853" s="16">
        <v>17.283375804315</v>
      </c>
      <c r="K2853" s="16">
        <v>-97.373540777497993</v>
      </c>
      <c r="L2853" s="16" t="str">
        <f>HYPERLINK("https://maps.google.com/?q=17.283375804315,-97.373540777498", "🔗 Ver Mapa")</f>
        <v>🔗 Ver Mapa</v>
      </c>
    </row>
    <row r="2854" spans="1:12" ht="43.5" x14ac:dyDescent="0.35">
      <c r="A2854" s="6" t="s">
        <v>270</v>
      </c>
      <c r="B2854" s="6" t="s">
        <v>271</v>
      </c>
      <c r="C2854" s="6" t="s">
        <v>1427</v>
      </c>
      <c r="D2854" s="11" t="s">
        <v>273</v>
      </c>
      <c r="E2854" s="17" t="s">
        <v>73</v>
      </c>
      <c r="F2854" s="17" t="s">
        <v>187</v>
      </c>
      <c r="G2854" s="11" t="s">
        <v>1428</v>
      </c>
      <c r="H2854" s="11" t="s">
        <v>1429</v>
      </c>
      <c r="I2854" s="17" t="s">
        <v>138</v>
      </c>
      <c r="J2854" s="17">
        <v>17.283409738877999</v>
      </c>
      <c r="K2854" s="17">
        <v>-97.372847426467999</v>
      </c>
      <c r="L2854" s="17" t="str">
        <f>HYPERLINK("https://maps.google.com/?q=17.283409738878,-97.372847426468", "🔗 Ver Mapa")</f>
        <v>🔗 Ver Mapa</v>
      </c>
    </row>
    <row r="2855" spans="1:12" ht="43.5" x14ac:dyDescent="0.35">
      <c r="A2855" s="5" t="s">
        <v>270</v>
      </c>
      <c r="B2855" s="5" t="s">
        <v>271</v>
      </c>
      <c r="C2855" s="5" t="s">
        <v>1427</v>
      </c>
      <c r="D2855" s="8" t="s">
        <v>273</v>
      </c>
      <c r="E2855" s="16" t="s">
        <v>73</v>
      </c>
      <c r="F2855" s="16" t="s">
        <v>187</v>
      </c>
      <c r="G2855" s="8" t="s">
        <v>1428</v>
      </c>
      <c r="H2855" s="8" t="s">
        <v>1429</v>
      </c>
      <c r="I2855" s="16" t="s">
        <v>138</v>
      </c>
      <c r="J2855" s="16">
        <v>17.284244122680999</v>
      </c>
      <c r="K2855" s="16">
        <v>-97.373479644414999</v>
      </c>
      <c r="L2855" s="16" t="str">
        <f>HYPERLINK("https://maps.google.com/?q=17.284244122681,-97.373479644415", "🔗 Ver Mapa")</f>
        <v>🔗 Ver Mapa</v>
      </c>
    </row>
    <row r="2856" spans="1:12" ht="43.5" x14ac:dyDescent="0.35">
      <c r="A2856" s="6" t="s">
        <v>270</v>
      </c>
      <c r="B2856" s="6" t="s">
        <v>271</v>
      </c>
      <c r="C2856" s="6" t="s">
        <v>1427</v>
      </c>
      <c r="D2856" s="11" t="s">
        <v>273</v>
      </c>
      <c r="E2856" s="17" t="s">
        <v>73</v>
      </c>
      <c r="F2856" s="17" t="s">
        <v>187</v>
      </c>
      <c r="G2856" s="11" t="s">
        <v>1428</v>
      </c>
      <c r="H2856" s="11" t="s">
        <v>1429</v>
      </c>
      <c r="I2856" s="17" t="s">
        <v>138</v>
      </c>
      <c r="J2856" s="17">
        <v>17.284753778342001</v>
      </c>
      <c r="K2856" s="17">
        <v>-97.377917359229997</v>
      </c>
      <c r="L2856" s="17" t="str">
        <f>HYPERLINK("https://maps.google.com/?q=17.284753778342,-97.37791735923", "🔗 Ver Mapa")</f>
        <v>🔗 Ver Mapa</v>
      </c>
    </row>
    <row r="2857" spans="1:12" ht="43.5" x14ac:dyDescent="0.35">
      <c r="A2857" s="5" t="s">
        <v>270</v>
      </c>
      <c r="B2857" s="5" t="s">
        <v>271</v>
      </c>
      <c r="C2857" s="5" t="s">
        <v>1427</v>
      </c>
      <c r="D2857" s="8" t="s">
        <v>273</v>
      </c>
      <c r="E2857" s="16" t="s">
        <v>73</v>
      </c>
      <c r="F2857" s="16" t="s">
        <v>187</v>
      </c>
      <c r="G2857" s="8" t="s">
        <v>1428</v>
      </c>
      <c r="H2857" s="8" t="s">
        <v>1429</v>
      </c>
      <c r="I2857" s="16" t="s">
        <v>138</v>
      </c>
      <c r="J2857" s="16">
        <v>17.284941452394001</v>
      </c>
      <c r="K2857" s="16">
        <v>-97.377139682207002</v>
      </c>
      <c r="L2857" s="16" t="str">
        <f>HYPERLINK("https://maps.google.com/?q=17.284941452394,-97.377139682207", "🔗 Ver Mapa")</f>
        <v>🔗 Ver Mapa</v>
      </c>
    </row>
    <row r="2858" spans="1:12" ht="43.5" x14ac:dyDescent="0.35">
      <c r="A2858" s="6" t="s">
        <v>270</v>
      </c>
      <c r="B2858" s="6" t="s">
        <v>271</v>
      </c>
      <c r="C2858" s="6" t="s">
        <v>1427</v>
      </c>
      <c r="D2858" s="11" t="s">
        <v>273</v>
      </c>
      <c r="E2858" s="17" t="s">
        <v>73</v>
      </c>
      <c r="F2858" s="17" t="s">
        <v>187</v>
      </c>
      <c r="G2858" s="11" t="s">
        <v>1428</v>
      </c>
      <c r="H2858" s="11" t="s">
        <v>1429</v>
      </c>
      <c r="I2858" s="17" t="s">
        <v>138</v>
      </c>
      <c r="J2858" s="17">
        <v>17.284972</v>
      </c>
      <c r="K2858" s="17">
        <v>-97.377904000000001</v>
      </c>
      <c r="L2858" s="17" t="str">
        <f>HYPERLINK("https://maps.google.com/?q=17.284972,-97.377904", "🔗 Ver Mapa")</f>
        <v>🔗 Ver Mapa</v>
      </c>
    </row>
    <row r="2859" spans="1:12" ht="43.5" x14ac:dyDescent="0.35">
      <c r="A2859" s="5" t="s">
        <v>270</v>
      </c>
      <c r="B2859" s="5" t="s">
        <v>271</v>
      </c>
      <c r="C2859" s="5" t="s">
        <v>1427</v>
      </c>
      <c r="D2859" s="8" t="s">
        <v>273</v>
      </c>
      <c r="E2859" s="16" t="s">
        <v>73</v>
      </c>
      <c r="F2859" s="16" t="s">
        <v>187</v>
      </c>
      <c r="G2859" s="8" t="s">
        <v>1428</v>
      </c>
      <c r="H2859" s="8" t="s">
        <v>1429</v>
      </c>
      <c r="I2859" s="16" t="s">
        <v>138</v>
      </c>
      <c r="J2859" s="16">
        <v>17.285192255064999</v>
      </c>
      <c r="K2859" s="16">
        <v>-97.373605150513995</v>
      </c>
      <c r="L2859" s="16" t="str">
        <f>HYPERLINK("https://maps.google.com/?q=17.285192255065,-97.373605150514", "🔗 Ver Mapa")</f>
        <v>🔗 Ver Mapa</v>
      </c>
    </row>
    <row r="2860" spans="1:12" ht="43.5" x14ac:dyDescent="0.35">
      <c r="A2860" s="6" t="s">
        <v>270</v>
      </c>
      <c r="B2860" s="6" t="s">
        <v>271</v>
      </c>
      <c r="C2860" s="6" t="s">
        <v>1427</v>
      </c>
      <c r="D2860" s="11" t="s">
        <v>273</v>
      </c>
      <c r="E2860" s="17" t="s">
        <v>73</v>
      </c>
      <c r="F2860" s="17" t="s">
        <v>187</v>
      </c>
      <c r="G2860" s="11" t="s">
        <v>1428</v>
      </c>
      <c r="H2860" s="11" t="s">
        <v>1429</v>
      </c>
      <c r="I2860" s="17" t="s">
        <v>138</v>
      </c>
      <c r="J2860" s="17">
        <v>17.285396608344001</v>
      </c>
      <c r="K2860" s="17">
        <v>-97.377173046230993</v>
      </c>
      <c r="L2860" s="17" t="str">
        <f>HYPERLINK("https://maps.google.com/?q=17.285396608344,-97.377173046231", "🔗 Ver Mapa")</f>
        <v>🔗 Ver Mapa</v>
      </c>
    </row>
    <row r="2861" spans="1:12" ht="43.5" x14ac:dyDescent="0.35">
      <c r="A2861" s="5" t="s">
        <v>270</v>
      </c>
      <c r="B2861" s="5" t="s">
        <v>271</v>
      </c>
      <c r="C2861" s="5" t="s">
        <v>1427</v>
      </c>
      <c r="D2861" s="8" t="s">
        <v>273</v>
      </c>
      <c r="E2861" s="16" t="s">
        <v>73</v>
      </c>
      <c r="F2861" s="16" t="s">
        <v>187</v>
      </c>
      <c r="G2861" s="8" t="s">
        <v>1428</v>
      </c>
      <c r="H2861" s="8" t="s">
        <v>1429</v>
      </c>
      <c r="I2861" s="16" t="s">
        <v>138</v>
      </c>
      <c r="J2861" s="16">
        <v>17.285597652328001</v>
      </c>
      <c r="K2861" s="16">
        <v>-97.375661621450007</v>
      </c>
      <c r="L2861" s="16" t="str">
        <f>HYPERLINK("https://maps.google.com/?q=17.285597652328,-97.37566162145", "🔗 Ver Mapa")</f>
        <v>🔗 Ver Mapa</v>
      </c>
    </row>
    <row r="2862" spans="1:12" ht="43.5" x14ac:dyDescent="0.35">
      <c r="A2862" s="6" t="s">
        <v>270</v>
      </c>
      <c r="B2862" s="6" t="s">
        <v>271</v>
      </c>
      <c r="C2862" s="6" t="s">
        <v>1427</v>
      </c>
      <c r="D2862" s="11" t="s">
        <v>273</v>
      </c>
      <c r="E2862" s="17" t="s">
        <v>73</v>
      </c>
      <c r="F2862" s="17" t="s">
        <v>187</v>
      </c>
      <c r="G2862" s="11" t="s">
        <v>1428</v>
      </c>
      <c r="H2862" s="11" t="s">
        <v>1429</v>
      </c>
      <c r="I2862" s="17" t="s">
        <v>138</v>
      </c>
      <c r="J2862" s="17">
        <v>17.285638521681999</v>
      </c>
      <c r="K2862" s="17">
        <v>-97.363748032385004</v>
      </c>
      <c r="L2862" s="17" t="str">
        <f>HYPERLINK("https://maps.google.com/?q=17.285638521682,-97.363748032385", "🔗 Ver Mapa")</f>
        <v>🔗 Ver Mapa</v>
      </c>
    </row>
    <row r="2863" spans="1:12" ht="43.5" x14ac:dyDescent="0.35">
      <c r="A2863" s="5" t="s">
        <v>270</v>
      </c>
      <c r="B2863" s="5" t="s">
        <v>271</v>
      </c>
      <c r="C2863" s="5" t="s">
        <v>1427</v>
      </c>
      <c r="D2863" s="8" t="s">
        <v>273</v>
      </c>
      <c r="E2863" s="16" t="s">
        <v>73</v>
      </c>
      <c r="F2863" s="16" t="s">
        <v>187</v>
      </c>
      <c r="G2863" s="8" t="s">
        <v>1428</v>
      </c>
      <c r="H2863" s="8" t="s">
        <v>1429</v>
      </c>
      <c r="I2863" s="16" t="s">
        <v>138</v>
      </c>
      <c r="J2863" s="16">
        <v>17.285914476538</v>
      </c>
      <c r="K2863" s="16">
        <v>-97.367181259923996</v>
      </c>
      <c r="L2863" s="16" t="str">
        <f>HYPERLINK("https://maps.google.com/?q=17.285914476538,-97.367181259924", "🔗 Ver Mapa")</f>
        <v>🔗 Ver Mapa</v>
      </c>
    </row>
    <row r="2864" spans="1:12" ht="43.5" x14ac:dyDescent="0.35">
      <c r="A2864" s="6" t="s">
        <v>270</v>
      </c>
      <c r="B2864" s="6" t="s">
        <v>271</v>
      </c>
      <c r="C2864" s="6" t="s">
        <v>1427</v>
      </c>
      <c r="D2864" s="11" t="s">
        <v>273</v>
      </c>
      <c r="E2864" s="17" t="s">
        <v>73</v>
      </c>
      <c r="F2864" s="17" t="s">
        <v>187</v>
      </c>
      <c r="G2864" s="11" t="s">
        <v>1428</v>
      </c>
      <c r="H2864" s="11" t="s">
        <v>1429</v>
      </c>
      <c r="I2864" s="17" t="s">
        <v>138</v>
      </c>
      <c r="J2864" s="17">
        <v>17.286008703354</v>
      </c>
      <c r="K2864" s="17">
        <v>-97.366068700908002</v>
      </c>
      <c r="L2864" s="17" t="str">
        <f>HYPERLINK("https://maps.google.com/?q=17.286008703354,-97.366068700908", "🔗 Ver Mapa")</f>
        <v>🔗 Ver Mapa</v>
      </c>
    </row>
    <row r="2865" spans="1:12" ht="43.5" x14ac:dyDescent="0.35">
      <c r="A2865" s="5" t="s">
        <v>270</v>
      </c>
      <c r="B2865" s="5" t="s">
        <v>271</v>
      </c>
      <c r="C2865" s="5" t="s">
        <v>1427</v>
      </c>
      <c r="D2865" s="8" t="s">
        <v>273</v>
      </c>
      <c r="E2865" s="16" t="s">
        <v>73</v>
      </c>
      <c r="F2865" s="16" t="s">
        <v>187</v>
      </c>
      <c r="G2865" s="8" t="s">
        <v>1428</v>
      </c>
      <c r="H2865" s="8" t="s">
        <v>1429</v>
      </c>
      <c r="I2865" s="16" t="s">
        <v>138</v>
      </c>
      <c r="J2865" s="16">
        <v>17.286322325534002</v>
      </c>
      <c r="K2865" s="16">
        <v>-97.366911697917999</v>
      </c>
      <c r="L2865" s="16" t="str">
        <f>HYPERLINK("https://maps.google.com/?q=17.286322325534,-97.366911697918", "🔗 Ver Mapa")</f>
        <v>🔗 Ver Mapa</v>
      </c>
    </row>
    <row r="2866" spans="1:12" ht="43.5" x14ac:dyDescent="0.35">
      <c r="A2866" s="6" t="s">
        <v>270</v>
      </c>
      <c r="B2866" s="6" t="s">
        <v>271</v>
      </c>
      <c r="C2866" s="6" t="s">
        <v>1427</v>
      </c>
      <c r="D2866" s="11" t="s">
        <v>273</v>
      </c>
      <c r="E2866" s="17" t="s">
        <v>73</v>
      </c>
      <c r="F2866" s="17" t="s">
        <v>187</v>
      </c>
      <c r="G2866" s="11" t="s">
        <v>1428</v>
      </c>
      <c r="H2866" s="11" t="s">
        <v>1429</v>
      </c>
      <c r="I2866" s="17" t="s">
        <v>138</v>
      </c>
      <c r="J2866" s="17">
        <v>17.287095871268999</v>
      </c>
      <c r="K2866" s="17">
        <v>-97.365984211324005</v>
      </c>
      <c r="L2866" s="17" t="str">
        <f>HYPERLINK("https://maps.google.com/?q=17.287095871269,-97.365984211324", "🔗 Ver Mapa")</f>
        <v>🔗 Ver Mapa</v>
      </c>
    </row>
    <row r="2867" spans="1:12" ht="43.5" x14ac:dyDescent="0.35">
      <c r="A2867" s="5" t="s">
        <v>270</v>
      </c>
      <c r="B2867" s="5" t="s">
        <v>271</v>
      </c>
      <c r="C2867" s="5" t="s">
        <v>1427</v>
      </c>
      <c r="D2867" s="8" t="s">
        <v>273</v>
      </c>
      <c r="E2867" s="16" t="s">
        <v>73</v>
      </c>
      <c r="F2867" s="16" t="s">
        <v>187</v>
      </c>
      <c r="G2867" s="8" t="s">
        <v>1428</v>
      </c>
      <c r="H2867" s="8" t="s">
        <v>1429</v>
      </c>
      <c r="I2867" s="16" t="s">
        <v>138</v>
      </c>
      <c r="J2867" s="16">
        <v>17.287386999999999</v>
      </c>
      <c r="K2867" s="16">
        <v>-97.368926999999999</v>
      </c>
      <c r="L2867" s="16" t="str">
        <f>HYPERLINK("https://maps.google.com/?q=17.287387,-97.368927", "🔗 Ver Mapa")</f>
        <v>🔗 Ver Mapa</v>
      </c>
    </row>
    <row r="2868" spans="1:12" ht="43.5" x14ac:dyDescent="0.35">
      <c r="A2868" s="6" t="s">
        <v>270</v>
      </c>
      <c r="B2868" s="6" t="s">
        <v>271</v>
      </c>
      <c r="C2868" s="6" t="s">
        <v>1427</v>
      </c>
      <c r="D2868" s="11" t="s">
        <v>273</v>
      </c>
      <c r="E2868" s="17" t="s">
        <v>73</v>
      </c>
      <c r="F2868" s="17" t="s">
        <v>187</v>
      </c>
      <c r="G2868" s="11" t="s">
        <v>1428</v>
      </c>
      <c r="H2868" s="11" t="s">
        <v>1429</v>
      </c>
      <c r="I2868" s="17" t="s">
        <v>138</v>
      </c>
      <c r="J2868" s="17">
        <v>17.287428699420001</v>
      </c>
      <c r="K2868" s="17">
        <v>-97.368122715287996</v>
      </c>
      <c r="L2868" s="17" t="str">
        <f>HYPERLINK("https://maps.google.com/?q=17.28742869942,-97.368122715288", "🔗 Ver Mapa")</f>
        <v>🔗 Ver Mapa</v>
      </c>
    </row>
    <row r="2869" spans="1:12" ht="43.5" x14ac:dyDescent="0.35">
      <c r="A2869" s="5" t="s">
        <v>270</v>
      </c>
      <c r="B2869" s="5" t="s">
        <v>271</v>
      </c>
      <c r="C2869" s="5" t="s">
        <v>1427</v>
      </c>
      <c r="D2869" s="8" t="s">
        <v>273</v>
      </c>
      <c r="E2869" s="16" t="s">
        <v>73</v>
      </c>
      <c r="F2869" s="16" t="s">
        <v>187</v>
      </c>
      <c r="G2869" s="8" t="s">
        <v>1428</v>
      </c>
      <c r="H2869" s="8" t="s">
        <v>1429</v>
      </c>
      <c r="I2869" s="16" t="s">
        <v>138</v>
      </c>
      <c r="J2869" s="16">
        <v>17.287428807154001</v>
      </c>
      <c r="K2869" s="16">
        <v>-97.380894611231994</v>
      </c>
      <c r="L2869" s="16" t="str">
        <f>HYPERLINK("https://maps.google.com/?q=17.287428807154,-97.380894611232", "🔗 Ver Mapa")</f>
        <v>🔗 Ver Mapa</v>
      </c>
    </row>
    <row r="2870" spans="1:12" ht="43.5" x14ac:dyDescent="0.35">
      <c r="A2870" s="6" t="s">
        <v>270</v>
      </c>
      <c r="B2870" s="6" t="s">
        <v>271</v>
      </c>
      <c r="C2870" s="6" t="s">
        <v>1427</v>
      </c>
      <c r="D2870" s="11" t="s">
        <v>273</v>
      </c>
      <c r="E2870" s="17" t="s">
        <v>73</v>
      </c>
      <c r="F2870" s="17" t="s">
        <v>187</v>
      </c>
      <c r="G2870" s="11" t="s">
        <v>1428</v>
      </c>
      <c r="H2870" s="11" t="s">
        <v>1429</v>
      </c>
      <c r="I2870" s="17" t="s">
        <v>138</v>
      </c>
      <c r="J2870" s="17">
        <v>17.287437770804001</v>
      </c>
      <c r="K2870" s="17">
        <v>-97.367906014078997</v>
      </c>
      <c r="L2870" s="17" t="str">
        <f>HYPERLINK("https://maps.google.com/?q=17.287437770804,-97.367906014079", "🔗 Ver Mapa")</f>
        <v>🔗 Ver Mapa</v>
      </c>
    </row>
    <row r="2871" spans="1:12" ht="43.5" x14ac:dyDescent="0.35">
      <c r="A2871" s="5" t="s">
        <v>270</v>
      </c>
      <c r="B2871" s="5" t="s">
        <v>271</v>
      </c>
      <c r="C2871" s="5" t="s">
        <v>1427</v>
      </c>
      <c r="D2871" s="8" t="s">
        <v>273</v>
      </c>
      <c r="E2871" s="16" t="s">
        <v>73</v>
      </c>
      <c r="F2871" s="16" t="s">
        <v>187</v>
      </c>
      <c r="G2871" s="8" t="s">
        <v>1428</v>
      </c>
      <c r="H2871" s="8" t="s">
        <v>1429</v>
      </c>
      <c r="I2871" s="16" t="s">
        <v>138</v>
      </c>
      <c r="J2871" s="16">
        <v>17.287629100924001</v>
      </c>
      <c r="K2871" s="16">
        <v>-97.373925674489996</v>
      </c>
      <c r="L2871" s="16" t="str">
        <f>HYPERLINK("https://maps.google.com/?q=17.287629100924,-97.37392567449", "🔗 Ver Mapa")</f>
        <v>🔗 Ver Mapa</v>
      </c>
    </row>
    <row r="2872" spans="1:12" ht="43.5" x14ac:dyDescent="0.35">
      <c r="A2872" s="6" t="s">
        <v>270</v>
      </c>
      <c r="B2872" s="6" t="s">
        <v>271</v>
      </c>
      <c r="C2872" s="6" t="s">
        <v>1427</v>
      </c>
      <c r="D2872" s="11" t="s">
        <v>273</v>
      </c>
      <c r="E2872" s="17" t="s">
        <v>73</v>
      </c>
      <c r="F2872" s="17" t="s">
        <v>187</v>
      </c>
      <c r="G2872" s="11" t="s">
        <v>1428</v>
      </c>
      <c r="H2872" s="11" t="s">
        <v>1429</v>
      </c>
      <c r="I2872" s="17" t="s">
        <v>138</v>
      </c>
      <c r="J2872" s="17">
        <v>17.287726420424999</v>
      </c>
      <c r="K2872" s="17">
        <v>-97.374175119929006</v>
      </c>
      <c r="L2872" s="17" t="str">
        <f>HYPERLINK("https://maps.google.com/?q=17.287726420425,-97.374175119929", "🔗 Ver Mapa")</f>
        <v>🔗 Ver Mapa</v>
      </c>
    </row>
    <row r="2873" spans="1:12" ht="43.5" x14ac:dyDescent="0.35">
      <c r="A2873" s="5" t="s">
        <v>270</v>
      </c>
      <c r="B2873" s="5" t="s">
        <v>271</v>
      </c>
      <c r="C2873" s="5" t="s">
        <v>1427</v>
      </c>
      <c r="D2873" s="8" t="s">
        <v>273</v>
      </c>
      <c r="E2873" s="16" t="s">
        <v>73</v>
      </c>
      <c r="F2873" s="16" t="s">
        <v>187</v>
      </c>
      <c r="G2873" s="8" t="s">
        <v>1428</v>
      </c>
      <c r="H2873" s="8" t="s">
        <v>1429</v>
      </c>
      <c r="I2873" s="16" t="s">
        <v>138</v>
      </c>
      <c r="J2873" s="16">
        <v>17.288041533878999</v>
      </c>
      <c r="K2873" s="16">
        <v>-97.368278510245005</v>
      </c>
      <c r="L2873" s="16" t="str">
        <f>HYPERLINK("https://maps.google.com/?q=17.288041533879,-97.368278510245", "🔗 Ver Mapa")</f>
        <v>🔗 Ver Mapa</v>
      </c>
    </row>
    <row r="2874" spans="1:12" ht="43.5" x14ac:dyDescent="0.35">
      <c r="A2874" s="6" t="s">
        <v>270</v>
      </c>
      <c r="B2874" s="6" t="s">
        <v>271</v>
      </c>
      <c r="C2874" s="6" t="s">
        <v>1427</v>
      </c>
      <c r="D2874" s="11" t="s">
        <v>273</v>
      </c>
      <c r="E2874" s="17" t="s">
        <v>73</v>
      </c>
      <c r="F2874" s="17" t="s">
        <v>187</v>
      </c>
      <c r="G2874" s="11" t="s">
        <v>1428</v>
      </c>
      <c r="H2874" s="11" t="s">
        <v>1429</v>
      </c>
      <c r="I2874" s="17" t="s">
        <v>138</v>
      </c>
      <c r="J2874" s="17">
        <v>17.288136934173</v>
      </c>
      <c r="K2874" s="17">
        <v>-97.377354095331995</v>
      </c>
      <c r="L2874" s="17" t="str">
        <f>HYPERLINK("https://maps.google.com/?q=17.288136934173,-97.377354095332", "🔗 Ver Mapa")</f>
        <v>🔗 Ver Mapa</v>
      </c>
    </row>
    <row r="2875" spans="1:12" ht="43.5" x14ac:dyDescent="0.35">
      <c r="A2875" s="5" t="s">
        <v>270</v>
      </c>
      <c r="B2875" s="5" t="s">
        <v>271</v>
      </c>
      <c r="C2875" s="5" t="s">
        <v>1427</v>
      </c>
      <c r="D2875" s="8" t="s">
        <v>273</v>
      </c>
      <c r="E2875" s="16" t="s">
        <v>73</v>
      </c>
      <c r="F2875" s="16" t="s">
        <v>187</v>
      </c>
      <c r="G2875" s="8" t="s">
        <v>1428</v>
      </c>
      <c r="H2875" s="8" t="s">
        <v>1429</v>
      </c>
      <c r="I2875" s="16" t="s">
        <v>138</v>
      </c>
      <c r="J2875" s="16">
        <v>17.288610724691001</v>
      </c>
      <c r="K2875" s="16">
        <v>-97.378160099146996</v>
      </c>
      <c r="L2875" s="16" t="str">
        <f>HYPERLINK("https://maps.google.com/?q=17.288610724691,-97.378160099147", "🔗 Ver Mapa")</f>
        <v>🔗 Ver Mapa</v>
      </c>
    </row>
    <row r="2876" spans="1:12" ht="43.5" x14ac:dyDescent="0.35">
      <c r="A2876" s="6" t="s">
        <v>270</v>
      </c>
      <c r="B2876" s="6" t="s">
        <v>271</v>
      </c>
      <c r="C2876" s="6" t="s">
        <v>1427</v>
      </c>
      <c r="D2876" s="11" t="s">
        <v>273</v>
      </c>
      <c r="E2876" s="17" t="s">
        <v>73</v>
      </c>
      <c r="F2876" s="17" t="s">
        <v>187</v>
      </c>
      <c r="G2876" s="11" t="s">
        <v>1428</v>
      </c>
      <c r="H2876" s="11" t="s">
        <v>1429</v>
      </c>
      <c r="I2876" s="17" t="s">
        <v>138</v>
      </c>
      <c r="J2876" s="17">
        <v>17.288704202135001</v>
      </c>
      <c r="K2876" s="17">
        <v>-97.378228495477003</v>
      </c>
      <c r="L2876" s="17" t="str">
        <f>HYPERLINK("https://maps.google.com/?q=17.288704202135,-97.378228495477", "🔗 Ver Mapa")</f>
        <v>🔗 Ver Mapa</v>
      </c>
    </row>
    <row r="2877" spans="1:12" ht="43.5" x14ac:dyDescent="0.35">
      <c r="A2877" s="5" t="s">
        <v>270</v>
      </c>
      <c r="B2877" s="5" t="s">
        <v>271</v>
      </c>
      <c r="C2877" s="5" t="s">
        <v>1427</v>
      </c>
      <c r="D2877" s="8" t="s">
        <v>273</v>
      </c>
      <c r="E2877" s="16" t="s">
        <v>73</v>
      </c>
      <c r="F2877" s="16" t="s">
        <v>187</v>
      </c>
      <c r="G2877" s="8" t="s">
        <v>1428</v>
      </c>
      <c r="H2877" s="8" t="s">
        <v>1429</v>
      </c>
      <c r="I2877" s="16" t="s">
        <v>138</v>
      </c>
      <c r="J2877" s="16">
        <v>17.288821685675</v>
      </c>
      <c r="K2877" s="16">
        <v>-97.374869708630996</v>
      </c>
      <c r="L2877" s="16" t="str">
        <f>HYPERLINK("https://maps.google.com/?q=17.288821685675,-97.374869708631", "🔗 Ver Mapa")</f>
        <v>🔗 Ver Mapa</v>
      </c>
    </row>
    <row r="2878" spans="1:12" ht="43.5" x14ac:dyDescent="0.35">
      <c r="A2878" s="6" t="s">
        <v>270</v>
      </c>
      <c r="B2878" s="6" t="s">
        <v>271</v>
      </c>
      <c r="C2878" s="6" t="s">
        <v>1427</v>
      </c>
      <c r="D2878" s="11" t="s">
        <v>273</v>
      </c>
      <c r="E2878" s="17" t="s">
        <v>73</v>
      </c>
      <c r="F2878" s="17" t="s">
        <v>187</v>
      </c>
      <c r="G2878" s="11" t="s">
        <v>1428</v>
      </c>
      <c r="H2878" s="11" t="s">
        <v>1429</v>
      </c>
      <c r="I2878" s="17" t="s">
        <v>138</v>
      </c>
      <c r="J2878" s="17">
        <v>17.289230492064998</v>
      </c>
      <c r="K2878" s="17">
        <v>-97.376959810613002</v>
      </c>
      <c r="L2878" s="17" t="str">
        <f>HYPERLINK("https://maps.google.com/?q=17.289230492065,-97.376959810613", "🔗 Ver Mapa")</f>
        <v>🔗 Ver Mapa</v>
      </c>
    </row>
    <row r="2879" spans="1:12" ht="43.5" x14ac:dyDescent="0.35">
      <c r="A2879" s="5" t="s">
        <v>270</v>
      </c>
      <c r="B2879" s="5" t="s">
        <v>271</v>
      </c>
      <c r="C2879" s="5" t="s">
        <v>1427</v>
      </c>
      <c r="D2879" s="8" t="s">
        <v>273</v>
      </c>
      <c r="E2879" s="16" t="s">
        <v>73</v>
      </c>
      <c r="F2879" s="16" t="s">
        <v>187</v>
      </c>
      <c r="G2879" s="8" t="s">
        <v>1428</v>
      </c>
      <c r="H2879" s="8" t="s">
        <v>1429</v>
      </c>
      <c r="I2879" s="16" t="s">
        <v>138</v>
      </c>
      <c r="J2879" s="16">
        <v>17.289371347997001</v>
      </c>
      <c r="K2879" s="16">
        <v>-97.369967291712001</v>
      </c>
      <c r="L2879" s="16" t="str">
        <f>HYPERLINK("https://maps.google.com/?q=17.289371347997,-97.369967291712", "🔗 Ver Mapa")</f>
        <v>🔗 Ver Mapa</v>
      </c>
    </row>
    <row r="2880" spans="1:12" ht="43.5" x14ac:dyDescent="0.35">
      <c r="A2880" s="6" t="s">
        <v>270</v>
      </c>
      <c r="B2880" s="6" t="s">
        <v>271</v>
      </c>
      <c r="C2880" s="6" t="s">
        <v>1427</v>
      </c>
      <c r="D2880" s="11" t="s">
        <v>273</v>
      </c>
      <c r="E2880" s="17" t="s">
        <v>73</v>
      </c>
      <c r="F2880" s="17" t="s">
        <v>187</v>
      </c>
      <c r="G2880" s="11" t="s">
        <v>1428</v>
      </c>
      <c r="H2880" s="11" t="s">
        <v>1429</v>
      </c>
      <c r="I2880" s="17" t="s">
        <v>138</v>
      </c>
      <c r="J2880" s="17">
        <v>17.289733726462</v>
      </c>
      <c r="K2880" s="17">
        <v>-97.377281672267003</v>
      </c>
      <c r="L2880" s="17" t="str">
        <f>HYPERLINK("https://maps.google.com/?q=17.289733726462,-97.377281672267", "🔗 Ver Mapa")</f>
        <v>🔗 Ver Mapa</v>
      </c>
    </row>
    <row r="2881" spans="1:12" ht="43.5" x14ac:dyDescent="0.35">
      <c r="A2881" s="5" t="s">
        <v>270</v>
      </c>
      <c r="B2881" s="5" t="s">
        <v>271</v>
      </c>
      <c r="C2881" s="5" t="s">
        <v>1427</v>
      </c>
      <c r="D2881" s="8" t="s">
        <v>273</v>
      </c>
      <c r="E2881" s="16" t="s">
        <v>73</v>
      </c>
      <c r="F2881" s="16" t="s">
        <v>187</v>
      </c>
      <c r="G2881" s="8" t="s">
        <v>1428</v>
      </c>
      <c r="H2881" s="8" t="s">
        <v>1429</v>
      </c>
      <c r="I2881" s="16" t="s">
        <v>138</v>
      </c>
      <c r="J2881" s="16">
        <v>17.290403968983998</v>
      </c>
      <c r="K2881" s="16">
        <v>-97.381398304102007</v>
      </c>
      <c r="L2881" s="16" t="str">
        <f>HYPERLINK("https://maps.google.com/?q=17.290403968984,-97.381398304102", "🔗 Ver Mapa")</f>
        <v>🔗 Ver Mapa</v>
      </c>
    </row>
    <row r="2882" spans="1:12" ht="43.5" x14ac:dyDescent="0.35">
      <c r="A2882" s="6" t="s">
        <v>270</v>
      </c>
      <c r="B2882" s="6" t="s">
        <v>271</v>
      </c>
      <c r="C2882" s="6" t="s">
        <v>1427</v>
      </c>
      <c r="D2882" s="11" t="s">
        <v>273</v>
      </c>
      <c r="E2882" s="17" t="s">
        <v>73</v>
      </c>
      <c r="F2882" s="17" t="s">
        <v>187</v>
      </c>
      <c r="G2882" s="11" t="s">
        <v>1428</v>
      </c>
      <c r="H2882" s="11" t="s">
        <v>1429</v>
      </c>
      <c r="I2882" s="17" t="s">
        <v>138</v>
      </c>
      <c r="J2882" s="17">
        <v>17.290583985049999</v>
      </c>
      <c r="K2882" s="17">
        <v>-97.383216063139002</v>
      </c>
      <c r="L2882" s="17" t="str">
        <f>HYPERLINK("https://maps.google.com/?q=17.29058398505,-97.383216063139", "🔗 Ver Mapa")</f>
        <v>🔗 Ver Mapa</v>
      </c>
    </row>
    <row r="2883" spans="1:12" ht="43.5" x14ac:dyDescent="0.35">
      <c r="A2883" s="5" t="s">
        <v>270</v>
      </c>
      <c r="B2883" s="5" t="s">
        <v>271</v>
      </c>
      <c r="C2883" s="5" t="s">
        <v>1427</v>
      </c>
      <c r="D2883" s="8" t="s">
        <v>273</v>
      </c>
      <c r="E2883" s="16" t="s">
        <v>73</v>
      </c>
      <c r="F2883" s="16" t="s">
        <v>187</v>
      </c>
      <c r="G2883" s="8" t="s">
        <v>1428</v>
      </c>
      <c r="H2883" s="8" t="s">
        <v>1429</v>
      </c>
      <c r="I2883" s="16" t="s">
        <v>138</v>
      </c>
      <c r="J2883" s="16">
        <v>17.290805511338</v>
      </c>
      <c r="K2883" s="16">
        <v>-97.365501413700997</v>
      </c>
      <c r="L2883" s="16" t="str">
        <f>HYPERLINK("https://maps.google.com/?q=17.290805511338,-97.365501413701", "🔗 Ver Mapa")</f>
        <v>🔗 Ver Mapa</v>
      </c>
    </row>
    <row r="2884" spans="1:12" ht="43.5" x14ac:dyDescent="0.35">
      <c r="A2884" s="6" t="s">
        <v>270</v>
      </c>
      <c r="B2884" s="6" t="s">
        <v>271</v>
      </c>
      <c r="C2884" s="6" t="s">
        <v>1427</v>
      </c>
      <c r="D2884" s="11" t="s">
        <v>273</v>
      </c>
      <c r="E2884" s="17" t="s">
        <v>73</v>
      </c>
      <c r="F2884" s="17" t="s">
        <v>187</v>
      </c>
      <c r="G2884" s="11" t="s">
        <v>1428</v>
      </c>
      <c r="H2884" s="11" t="s">
        <v>1429</v>
      </c>
      <c r="I2884" s="17" t="s">
        <v>138</v>
      </c>
      <c r="J2884" s="17">
        <v>17.291552040153999</v>
      </c>
      <c r="K2884" s="17">
        <v>-97.384604106305005</v>
      </c>
      <c r="L2884" s="17" t="str">
        <f>HYPERLINK("https://maps.google.com/?q=17.291552040154,-97.384604106305", "🔗 Ver Mapa")</f>
        <v>🔗 Ver Mapa</v>
      </c>
    </row>
    <row r="2885" spans="1:12" ht="43.5" x14ac:dyDescent="0.35">
      <c r="A2885" s="5" t="s">
        <v>270</v>
      </c>
      <c r="B2885" s="5" t="s">
        <v>271</v>
      </c>
      <c r="C2885" s="5" t="s">
        <v>1427</v>
      </c>
      <c r="D2885" s="8" t="s">
        <v>273</v>
      </c>
      <c r="E2885" s="16" t="s">
        <v>73</v>
      </c>
      <c r="F2885" s="16" t="s">
        <v>187</v>
      </c>
      <c r="G2885" s="8" t="s">
        <v>1428</v>
      </c>
      <c r="H2885" s="8" t="s">
        <v>1429</v>
      </c>
      <c r="I2885" s="16" t="s">
        <v>138</v>
      </c>
      <c r="J2885" s="16">
        <v>17.292010456004999</v>
      </c>
      <c r="K2885" s="16">
        <v>-97.368846128336997</v>
      </c>
      <c r="L2885" s="16" t="str">
        <f>HYPERLINK("https://maps.google.com/?q=17.292010456005,-97.368846128337", "🔗 Ver Mapa")</f>
        <v>🔗 Ver Mapa</v>
      </c>
    </row>
    <row r="2886" spans="1:12" ht="43.5" x14ac:dyDescent="0.35">
      <c r="A2886" s="6" t="s">
        <v>270</v>
      </c>
      <c r="B2886" s="6" t="s">
        <v>271</v>
      </c>
      <c r="C2886" s="6" t="s">
        <v>1427</v>
      </c>
      <c r="D2886" s="11" t="s">
        <v>273</v>
      </c>
      <c r="E2886" s="17" t="s">
        <v>73</v>
      </c>
      <c r="F2886" s="17" t="s">
        <v>187</v>
      </c>
      <c r="G2886" s="11" t="s">
        <v>1428</v>
      </c>
      <c r="H2886" s="11" t="s">
        <v>1429</v>
      </c>
      <c r="I2886" s="17" t="s">
        <v>138</v>
      </c>
      <c r="J2886" s="17">
        <v>17.29313461712</v>
      </c>
      <c r="K2886" s="17">
        <v>-97.369261987933001</v>
      </c>
      <c r="L2886" s="17" t="str">
        <f>HYPERLINK("https://maps.google.com/?q=17.29313461712,-97.369261987933", "🔗 Ver Mapa")</f>
        <v>🔗 Ver Mapa</v>
      </c>
    </row>
    <row r="2887" spans="1:12" ht="43.5" x14ac:dyDescent="0.35">
      <c r="A2887" s="5" t="s">
        <v>270</v>
      </c>
      <c r="B2887" s="5" t="s">
        <v>271</v>
      </c>
      <c r="C2887" s="5" t="s">
        <v>1427</v>
      </c>
      <c r="D2887" s="8" t="s">
        <v>273</v>
      </c>
      <c r="E2887" s="16" t="s">
        <v>73</v>
      </c>
      <c r="F2887" s="16" t="s">
        <v>187</v>
      </c>
      <c r="G2887" s="8" t="s">
        <v>1428</v>
      </c>
      <c r="H2887" s="8" t="s">
        <v>1429</v>
      </c>
      <c r="I2887" s="16" t="s">
        <v>138</v>
      </c>
      <c r="J2887" s="16">
        <v>17.293682767837002</v>
      </c>
      <c r="K2887" s="16">
        <v>-97.385367865321996</v>
      </c>
      <c r="L2887" s="16" t="str">
        <f>HYPERLINK("https://maps.google.com/?q=17.293682767837,-97.385367865322", "🔗 Ver Mapa")</f>
        <v>🔗 Ver Mapa</v>
      </c>
    </row>
    <row r="2888" spans="1:12" ht="43.5" x14ac:dyDescent="0.35">
      <c r="A2888" s="6" t="s">
        <v>270</v>
      </c>
      <c r="B2888" s="6" t="s">
        <v>271</v>
      </c>
      <c r="C2888" s="6" t="s">
        <v>1430</v>
      </c>
      <c r="D2888" s="11" t="s">
        <v>273</v>
      </c>
      <c r="E2888" s="17" t="s">
        <v>75</v>
      </c>
      <c r="F2888" s="17" t="s">
        <v>86</v>
      </c>
      <c r="G2888" s="11" t="s">
        <v>963</v>
      </c>
      <c r="H2888" s="11" t="s">
        <v>1431</v>
      </c>
      <c r="I2888" s="17" t="s">
        <v>138</v>
      </c>
      <c r="J2888" s="17">
        <v>17.054786758694</v>
      </c>
      <c r="K2888" s="17">
        <v>-96.822143482987002</v>
      </c>
      <c r="L2888" s="17" t="str">
        <f>HYPERLINK("https://maps.google.com/?q=17.054786758694,-96.822143482987", "🔗 Ver Mapa")</f>
        <v>🔗 Ver Mapa</v>
      </c>
    </row>
    <row r="2889" spans="1:12" ht="43.5" x14ac:dyDescent="0.35">
      <c r="A2889" s="5" t="s">
        <v>270</v>
      </c>
      <c r="B2889" s="5" t="s">
        <v>271</v>
      </c>
      <c r="C2889" s="5" t="s">
        <v>1430</v>
      </c>
      <c r="D2889" s="8" t="s">
        <v>273</v>
      </c>
      <c r="E2889" s="16" t="s">
        <v>75</v>
      </c>
      <c r="F2889" s="16" t="s">
        <v>86</v>
      </c>
      <c r="G2889" s="8" t="s">
        <v>963</v>
      </c>
      <c r="H2889" s="8" t="s">
        <v>1431</v>
      </c>
      <c r="I2889" s="16" t="s">
        <v>138</v>
      </c>
      <c r="J2889" s="16">
        <v>17.055667891169001</v>
      </c>
      <c r="K2889" s="16">
        <v>-96.828617317554006</v>
      </c>
      <c r="L2889" s="16" t="str">
        <f>HYPERLINK("https://maps.google.com/?q=17.055667891169,-96.828617317554", "🔗 Ver Mapa")</f>
        <v>🔗 Ver Mapa</v>
      </c>
    </row>
    <row r="2890" spans="1:12" ht="43.5" x14ac:dyDescent="0.35">
      <c r="A2890" s="6" t="s">
        <v>270</v>
      </c>
      <c r="B2890" s="6" t="s">
        <v>271</v>
      </c>
      <c r="C2890" s="6" t="s">
        <v>1430</v>
      </c>
      <c r="D2890" s="11" t="s">
        <v>273</v>
      </c>
      <c r="E2890" s="17" t="s">
        <v>75</v>
      </c>
      <c r="F2890" s="17" t="s">
        <v>86</v>
      </c>
      <c r="G2890" s="11" t="s">
        <v>963</v>
      </c>
      <c r="H2890" s="11" t="s">
        <v>1431</v>
      </c>
      <c r="I2890" s="17" t="s">
        <v>138</v>
      </c>
      <c r="J2890" s="17">
        <v>17.055770460485999</v>
      </c>
      <c r="K2890" s="17">
        <v>-96.825961930320005</v>
      </c>
      <c r="L2890" s="17" t="str">
        <f>HYPERLINK("https://maps.google.com/?q=17.055770460486,-96.82596193032", "🔗 Ver Mapa")</f>
        <v>🔗 Ver Mapa</v>
      </c>
    </row>
    <row r="2891" spans="1:12" ht="43.5" x14ac:dyDescent="0.35">
      <c r="A2891" s="5" t="s">
        <v>270</v>
      </c>
      <c r="B2891" s="5" t="s">
        <v>271</v>
      </c>
      <c r="C2891" s="5" t="s">
        <v>1430</v>
      </c>
      <c r="D2891" s="8" t="s">
        <v>273</v>
      </c>
      <c r="E2891" s="16" t="s">
        <v>75</v>
      </c>
      <c r="F2891" s="16" t="s">
        <v>86</v>
      </c>
      <c r="G2891" s="8" t="s">
        <v>963</v>
      </c>
      <c r="H2891" s="8" t="s">
        <v>1431</v>
      </c>
      <c r="I2891" s="16" t="s">
        <v>138</v>
      </c>
      <c r="J2891" s="16">
        <v>17.055815658433001</v>
      </c>
      <c r="K2891" s="16">
        <v>-96.820580166661998</v>
      </c>
      <c r="L2891" s="16" t="str">
        <f>HYPERLINK("https://maps.google.com/?q=17.055815658433,-96.820580166662", "🔗 Ver Mapa")</f>
        <v>🔗 Ver Mapa</v>
      </c>
    </row>
    <row r="2892" spans="1:12" ht="43.5" x14ac:dyDescent="0.35">
      <c r="A2892" s="6" t="s">
        <v>270</v>
      </c>
      <c r="B2892" s="6" t="s">
        <v>271</v>
      </c>
      <c r="C2892" s="6" t="s">
        <v>1430</v>
      </c>
      <c r="D2892" s="11" t="s">
        <v>273</v>
      </c>
      <c r="E2892" s="17" t="s">
        <v>75</v>
      </c>
      <c r="F2892" s="17" t="s">
        <v>86</v>
      </c>
      <c r="G2892" s="11" t="s">
        <v>963</v>
      </c>
      <c r="H2892" s="11" t="s">
        <v>1431</v>
      </c>
      <c r="I2892" s="17" t="s">
        <v>138</v>
      </c>
      <c r="J2892" s="17">
        <v>17.055854269337999</v>
      </c>
      <c r="K2892" s="17">
        <v>-96.825578251105</v>
      </c>
      <c r="L2892" s="17" t="str">
        <f>HYPERLINK("https://maps.google.com/?q=17.055854269338,-96.825578251105", "🔗 Ver Mapa")</f>
        <v>🔗 Ver Mapa</v>
      </c>
    </row>
    <row r="2893" spans="1:12" ht="43.5" x14ac:dyDescent="0.35">
      <c r="A2893" s="5" t="s">
        <v>270</v>
      </c>
      <c r="B2893" s="5" t="s">
        <v>271</v>
      </c>
      <c r="C2893" s="5" t="s">
        <v>1430</v>
      </c>
      <c r="D2893" s="8" t="s">
        <v>273</v>
      </c>
      <c r="E2893" s="16" t="s">
        <v>75</v>
      </c>
      <c r="F2893" s="16" t="s">
        <v>86</v>
      </c>
      <c r="G2893" s="8" t="s">
        <v>963</v>
      </c>
      <c r="H2893" s="8" t="s">
        <v>1431</v>
      </c>
      <c r="I2893" s="16" t="s">
        <v>138</v>
      </c>
      <c r="J2893" s="16">
        <v>17.055878112871</v>
      </c>
      <c r="K2893" s="16">
        <v>-96.828977368921002</v>
      </c>
      <c r="L2893" s="16" t="str">
        <f>HYPERLINK("https://maps.google.com/?q=17.055878112871,-96.828977368921", "🔗 Ver Mapa")</f>
        <v>🔗 Ver Mapa</v>
      </c>
    </row>
    <row r="2894" spans="1:12" ht="43.5" x14ac:dyDescent="0.35">
      <c r="A2894" s="6" t="s">
        <v>270</v>
      </c>
      <c r="B2894" s="6" t="s">
        <v>271</v>
      </c>
      <c r="C2894" s="6" t="s">
        <v>1430</v>
      </c>
      <c r="D2894" s="11" t="s">
        <v>273</v>
      </c>
      <c r="E2894" s="17" t="s">
        <v>75</v>
      </c>
      <c r="F2894" s="17" t="s">
        <v>86</v>
      </c>
      <c r="G2894" s="11" t="s">
        <v>963</v>
      </c>
      <c r="H2894" s="11" t="s">
        <v>1431</v>
      </c>
      <c r="I2894" s="17" t="s">
        <v>138</v>
      </c>
      <c r="J2894" s="17">
        <v>17.055969208939999</v>
      </c>
      <c r="K2894" s="17">
        <v>-96.821274732728</v>
      </c>
      <c r="L2894" s="17" t="str">
        <f>HYPERLINK("https://maps.google.com/?q=17.05596920894,-96.821274732728", "🔗 Ver Mapa")</f>
        <v>🔗 Ver Mapa</v>
      </c>
    </row>
    <row r="2895" spans="1:12" ht="43.5" x14ac:dyDescent="0.35">
      <c r="A2895" s="5" t="s">
        <v>270</v>
      </c>
      <c r="B2895" s="5" t="s">
        <v>271</v>
      </c>
      <c r="C2895" s="5" t="s">
        <v>1430</v>
      </c>
      <c r="D2895" s="8" t="s">
        <v>273</v>
      </c>
      <c r="E2895" s="16" t="s">
        <v>75</v>
      </c>
      <c r="F2895" s="16" t="s">
        <v>86</v>
      </c>
      <c r="G2895" s="8" t="s">
        <v>963</v>
      </c>
      <c r="H2895" s="8" t="s">
        <v>1431</v>
      </c>
      <c r="I2895" s="16" t="s">
        <v>138</v>
      </c>
      <c r="J2895" s="16">
        <v>17.056007454806998</v>
      </c>
      <c r="K2895" s="16">
        <v>-96.827112529632998</v>
      </c>
      <c r="L2895" s="16" t="str">
        <f>HYPERLINK("https://maps.google.com/?q=17.056007454807,-96.827112529633", "🔗 Ver Mapa")</f>
        <v>🔗 Ver Mapa</v>
      </c>
    </row>
    <row r="2896" spans="1:12" ht="43.5" x14ac:dyDescent="0.35">
      <c r="A2896" s="6" t="s">
        <v>270</v>
      </c>
      <c r="B2896" s="6" t="s">
        <v>271</v>
      </c>
      <c r="C2896" s="6" t="s">
        <v>1430</v>
      </c>
      <c r="D2896" s="11" t="s">
        <v>273</v>
      </c>
      <c r="E2896" s="17" t="s">
        <v>75</v>
      </c>
      <c r="F2896" s="17" t="s">
        <v>86</v>
      </c>
      <c r="G2896" s="11" t="s">
        <v>963</v>
      </c>
      <c r="H2896" s="11" t="s">
        <v>1431</v>
      </c>
      <c r="I2896" s="17" t="s">
        <v>138</v>
      </c>
      <c r="J2896" s="17">
        <v>17.056084822995999</v>
      </c>
      <c r="K2896" s="17">
        <v>-96.824189782090997</v>
      </c>
      <c r="L2896" s="17" t="str">
        <f>HYPERLINK("https://maps.google.com/?q=17.056084822996,-96.824189782091", "🔗 Ver Mapa")</f>
        <v>🔗 Ver Mapa</v>
      </c>
    </row>
    <row r="2897" spans="1:12" ht="43.5" x14ac:dyDescent="0.35">
      <c r="A2897" s="5" t="s">
        <v>270</v>
      </c>
      <c r="B2897" s="5" t="s">
        <v>271</v>
      </c>
      <c r="C2897" s="5" t="s">
        <v>1430</v>
      </c>
      <c r="D2897" s="8" t="s">
        <v>273</v>
      </c>
      <c r="E2897" s="16" t="s">
        <v>75</v>
      </c>
      <c r="F2897" s="16" t="s">
        <v>86</v>
      </c>
      <c r="G2897" s="8" t="s">
        <v>963</v>
      </c>
      <c r="H2897" s="8" t="s">
        <v>1431</v>
      </c>
      <c r="I2897" s="16" t="s">
        <v>138</v>
      </c>
      <c r="J2897" s="16">
        <v>17.056182020297001</v>
      </c>
      <c r="K2897" s="16">
        <v>-96.821136473817006</v>
      </c>
      <c r="L2897" s="16" t="str">
        <f>HYPERLINK("https://maps.google.com/?q=17.056182020297,-96.821136473817", "🔗 Ver Mapa")</f>
        <v>🔗 Ver Mapa</v>
      </c>
    </row>
    <row r="2898" spans="1:12" ht="43.5" x14ac:dyDescent="0.35">
      <c r="A2898" s="6" t="s">
        <v>270</v>
      </c>
      <c r="B2898" s="6" t="s">
        <v>271</v>
      </c>
      <c r="C2898" s="6" t="s">
        <v>1430</v>
      </c>
      <c r="D2898" s="11" t="s">
        <v>273</v>
      </c>
      <c r="E2898" s="17" t="s">
        <v>75</v>
      </c>
      <c r="F2898" s="17" t="s">
        <v>86</v>
      </c>
      <c r="G2898" s="11" t="s">
        <v>963</v>
      </c>
      <c r="H2898" s="11" t="s">
        <v>1431</v>
      </c>
      <c r="I2898" s="17" t="s">
        <v>138</v>
      </c>
      <c r="J2898" s="17">
        <v>17.056214546075999</v>
      </c>
      <c r="K2898" s="17">
        <v>-96.823316417382998</v>
      </c>
      <c r="L2898" s="17" t="str">
        <f>HYPERLINK("https://maps.google.com/?q=17.056214546076,-96.823316417383", "🔗 Ver Mapa")</f>
        <v>🔗 Ver Mapa</v>
      </c>
    </row>
    <row r="2899" spans="1:12" ht="43.5" x14ac:dyDescent="0.35">
      <c r="A2899" s="5" t="s">
        <v>270</v>
      </c>
      <c r="B2899" s="5" t="s">
        <v>271</v>
      </c>
      <c r="C2899" s="5" t="s">
        <v>1430</v>
      </c>
      <c r="D2899" s="8" t="s">
        <v>273</v>
      </c>
      <c r="E2899" s="16" t="s">
        <v>75</v>
      </c>
      <c r="F2899" s="16" t="s">
        <v>86</v>
      </c>
      <c r="G2899" s="8" t="s">
        <v>963</v>
      </c>
      <c r="H2899" s="8" t="s">
        <v>1431</v>
      </c>
      <c r="I2899" s="16" t="s">
        <v>138</v>
      </c>
      <c r="J2899" s="16">
        <v>17.056273201153001</v>
      </c>
      <c r="K2899" s="16">
        <v>-96.818955797791006</v>
      </c>
      <c r="L2899" s="16" t="str">
        <f>HYPERLINK("https://maps.google.com/?q=17.056273201153,-96.818955797791", "🔗 Ver Mapa")</f>
        <v>🔗 Ver Mapa</v>
      </c>
    </row>
    <row r="2900" spans="1:12" ht="43.5" x14ac:dyDescent="0.35">
      <c r="A2900" s="6" t="s">
        <v>270</v>
      </c>
      <c r="B2900" s="6" t="s">
        <v>271</v>
      </c>
      <c r="C2900" s="6" t="s">
        <v>1430</v>
      </c>
      <c r="D2900" s="11" t="s">
        <v>273</v>
      </c>
      <c r="E2900" s="17" t="s">
        <v>75</v>
      </c>
      <c r="F2900" s="17" t="s">
        <v>86</v>
      </c>
      <c r="G2900" s="11" t="s">
        <v>963</v>
      </c>
      <c r="H2900" s="11" t="s">
        <v>1431</v>
      </c>
      <c r="I2900" s="17" t="s">
        <v>138</v>
      </c>
      <c r="J2900" s="17">
        <v>17.056601785744</v>
      </c>
      <c r="K2900" s="17">
        <v>-96.820650999989994</v>
      </c>
      <c r="L2900" s="17" t="str">
        <f>HYPERLINK("https://maps.google.com/?q=17.056601785744,-96.82065099999", "🔗 Ver Mapa")</f>
        <v>🔗 Ver Mapa</v>
      </c>
    </row>
    <row r="2901" spans="1:12" ht="43.5" x14ac:dyDescent="0.35">
      <c r="A2901" s="5" t="s">
        <v>270</v>
      </c>
      <c r="B2901" s="5" t="s">
        <v>271</v>
      </c>
      <c r="C2901" s="5" t="s">
        <v>1430</v>
      </c>
      <c r="D2901" s="8" t="s">
        <v>273</v>
      </c>
      <c r="E2901" s="16" t="s">
        <v>75</v>
      </c>
      <c r="F2901" s="16" t="s">
        <v>86</v>
      </c>
      <c r="G2901" s="8" t="s">
        <v>963</v>
      </c>
      <c r="H2901" s="8" t="s">
        <v>1431</v>
      </c>
      <c r="I2901" s="16" t="s">
        <v>138</v>
      </c>
      <c r="J2901" s="16">
        <v>17.056650139026001</v>
      </c>
      <c r="K2901" s="16">
        <v>-96.818099199128</v>
      </c>
      <c r="L2901" s="16" t="str">
        <f>HYPERLINK("https://maps.google.com/?q=17.056650139026,-96.818099199128", "🔗 Ver Mapa")</f>
        <v>🔗 Ver Mapa</v>
      </c>
    </row>
    <row r="2902" spans="1:12" ht="43.5" x14ac:dyDescent="0.35">
      <c r="A2902" s="6" t="s">
        <v>270</v>
      </c>
      <c r="B2902" s="6" t="s">
        <v>271</v>
      </c>
      <c r="C2902" s="6" t="s">
        <v>1430</v>
      </c>
      <c r="D2902" s="11" t="s">
        <v>273</v>
      </c>
      <c r="E2902" s="17" t="s">
        <v>75</v>
      </c>
      <c r="F2902" s="17" t="s">
        <v>86</v>
      </c>
      <c r="G2902" s="11" t="s">
        <v>963</v>
      </c>
      <c r="H2902" s="11" t="s">
        <v>1431</v>
      </c>
      <c r="I2902" s="17" t="s">
        <v>138</v>
      </c>
      <c r="J2902" s="17">
        <v>17.056652616329</v>
      </c>
      <c r="K2902" s="17">
        <v>-96.823754858895001</v>
      </c>
      <c r="L2902" s="17" t="str">
        <f>HYPERLINK("https://maps.google.com/?q=17.056652616329,-96.823754858895", "🔗 Ver Mapa")</f>
        <v>🔗 Ver Mapa</v>
      </c>
    </row>
    <row r="2903" spans="1:12" ht="43.5" x14ac:dyDescent="0.35">
      <c r="A2903" s="5" t="s">
        <v>270</v>
      </c>
      <c r="B2903" s="5" t="s">
        <v>271</v>
      </c>
      <c r="C2903" s="5" t="s">
        <v>1430</v>
      </c>
      <c r="D2903" s="8" t="s">
        <v>273</v>
      </c>
      <c r="E2903" s="16" t="s">
        <v>75</v>
      </c>
      <c r="F2903" s="16" t="s">
        <v>86</v>
      </c>
      <c r="G2903" s="8" t="s">
        <v>963</v>
      </c>
      <c r="H2903" s="8" t="s">
        <v>1431</v>
      </c>
      <c r="I2903" s="16" t="s">
        <v>138</v>
      </c>
      <c r="J2903" s="16">
        <v>17.056803863662999</v>
      </c>
      <c r="K2903" s="16">
        <v>-96.819084419999996</v>
      </c>
      <c r="L2903" s="16" t="str">
        <f>HYPERLINK("https://maps.google.com/?q=17.056803863663,-96.81908442", "🔗 Ver Mapa")</f>
        <v>🔗 Ver Mapa</v>
      </c>
    </row>
    <row r="2904" spans="1:12" ht="43.5" x14ac:dyDescent="0.35">
      <c r="A2904" s="6" t="s">
        <v>270</v>
      </c>
      <c r="B2904" s="6" t="s">
        <v>271</v>
      </c>
      <c r="C2904" s="6" t="s">
        <v>1430</v>
      </c>
      <c r="D2904" s="11" t="s">
        <v>273</v>
      </c>
      <c r="E2904" s="17" t="s">
        <v>75</v>
      </c>
      <c r="F2904" s="17" t="s">
        <v>86</v>
      </c>
      <c r="G2904" s="11" t="s">
        <v>963</v>
      </c>
      <c r="H2904" s="11" t="s">
        <v>1431</v>
      </c>
      <c r="I2904" s="17" t="s">
        <v>138</v>
      </c>
      <c r="J2904" s="17">
        <v>17.05706806309</v>
      </c>
      <c r="K2904" s="17">
        <v>-96.820558102267995</v>
      </c>
      <c r="L2904" s="17" t="str">
        <f>HYPERLINK("https://maps.google.com/?q=17.05706806309,-96.820558102268", "🔗 Ver Mapa")</f>
        <v>🔗 Ver Mapa</v>
      </c>
    </row>
    <row r="2905" spans="1:12" ht="43.5" x14ac:dyDescent="0.35">
      <c r="A2905" s="5" t="s">
        <v>270</v>
      </c>
      <c r="B2905" s="5" t="s">
        <v>271</v>
      </c>
      <c r="C2905" s="5" t="s">
        <v>1430</v>
      </c>
      <c r="D2905" s="8" t="s">
        <v>273</v>
      </c>
      <c r="E2905" s="16" t="s">
        <v>75</v>
      </c>
      <c r="F2905" s="16" t="s">
        <v>86</v>
      </c>
      <c r="G2905" s="8" t="s">
        <v>963</v>
      </c>
      <c r="H2905" s="8" t="s">
        <v>1431</v>
      </c>
      <c r="I2905" s="16" t="s">
        <v>138</v>
      </c>
      <c r="J2905" s="16">
        <v>17.057365011123</v>
      </c>
      <c r="K2905" s="16">
        <v>-96.822131689822001</v>
      </c>
      <c r="L2905" s="16" t="str">
        <f>HYPERLINK("https://maps.google.com/?q=17.057365011123,-96.822131689822", "🔗 Ver Mapa")</f>
        <v>🔗 Ver Mapa</v>
      </c>
    </row>
    <row r="2906" spans="1:12" ht="43.5" x14ac:dyDescent="0.35">
      <c r="A2906" s="6" t="s">
        <v>270</v>
      </c>
      <c r="B2906" s="6" t="s">
        <v>271</v>
      </c>
      <c r="C2906" s="6" t="s">
        <v>1430</v>
      </c>
      <c r="D2906" s="11" t="s">
        <v>273</v>
      </c>
      <c r="E2906" s="17" t="s">
        <v>75</v>
      </c>
      <c r="F2906" s="17" t="s">
        <v>86</v>
      </c>
      <c r="G2906" s="11" t="s">
        <v>963</v>
      </c>
      <c r="H2906" s="11" t="s">
        <v>1431</v>
      </c>
      <c r="I2906" s="17" t="s">
        <v>138</v>
      </c>
      <c r="J2906" s="17">
        <v>17.057621157808001</v>
      </c>
      <c r="K2906" s="17">
        <v>-96.818724017042996</v>
      </c>
      <c r="L2906" s="17" t="str">
        <f>HYPERLINK("https://maps.google.com/?q=17.057621157808,-96.818724017043", "🔗 Ver Mapa")</f>
        <v>🔗 Ver Mapa</v>
      </c>
    </row>
    <row r="2907" spans="1:12" ht="43.5" x14ac:dyDescent="0.35">
      <c r="A2907" s="5" t="s">
        <v>270</v>
      </c>
      <c r="B2907" s="5" t="s">
        <v>271</v>
      </c>
      <c r="C2907" s="5" t="s">
        <v>1430</v>
      </c>
      <c r="D2907" s="8" t="s">
        <v>273</v>
      </c>
      <c r="E2907" s="16" t="s">
        <v>75</v>
      </c>
      <c r="F2907" s="16" t="s">
        <v>86</v>
      </c>
      <c r="G2907" s="8" t="s">
        <v>963</v>
      </c>
      <c r="H2907" s="8" t="s">
        <v>1431</v>
      </c>
      <c r="I2907" s="16" t="s">
        <v>138</v>
      </c>
      <c r="J2907" s="16">
        <v>17.057642819554001</v>
      </c>
      <c r="K2907" s="16">
        <v>-96.821806608445002</v>
      </c>
      <c r="L2907" s="16" t="str">
        <f>HYPERLINK("https://maps.google.com/?q=17.057642819554,-96.821806608445", "🔗 Ver Mapa")</f>
        <v>🔗 Ver Mapa</v>
      </c>
    </row>
    <row r="2908" spans="1:12" ht="43.5" x14ac:dyDescent="0.35">
      <c r="A2908" s="6" t="s">
        <v>270</v>
      </c>
      <c r="B2908" s="6" t="s">
        <v>271</v>
      </c>
      <c r="C2908" s="6" t="s">
        <v>1430</v>
      </c>
      <c r="D2908" s="11" t="s">
        <v>273</v>
      </c>
      <c r="E2908" s="17" t="s">
        <v>75</v>
      </c>
      <c r="F2908" s="17" t="s">
        <v>86</v>
      </c>
      <c r="G2908" s="11" t="s">
        <v>963</v>
      </c>
      <c r="H2908" s="11" t="s">
        <v>1431</v>
      </c>
      <c r="I2908" s="17" t="s">
        <v>138</v>
      </c>
      <c r="J2908" s="17">
        <v>17.057878257733002</v>
      </c>
      <c r="K2908" s="17">
        <v>-96.826004845664002</v>
      </c>
      <c r="L2908" s="17" t="str">
        <f>HYPERLINK("https://maps.google.com/?q=17.057878257733,-96.826004845664", "🔗 Ver Mapa")</f>
        <v>🔗 Ver Mapa</v>
      </c>
    </row>
    <row r="2909" spans="1:12" ht="43.5" x14ac:dyDescent="0.35">
      <c r="A2909" s="5" t="s">
        <v>270</v>
      </c>
      <c r="B2909" s="5" t="s">
        <v>271</v>
      </c>
      <c r="C2909" s="5" t="s">
        <v>1430</v>
      </c>
      <c r="D2909" s="8" t="s">
        <v>273</v>
      </c>
      <c r="E2909" s="16" t="s">
        <v>75</v>
      </c>
      <c r="F2909" s="16" t="s">
        <v>86</v>
      </c>
      <c r="G2909" s="8" t="s">
        <v>963</v>
      </c>
      <c r="H2909" s="8" t="s">
        <v>1431</v>
      </c>
      <c r="I2909" s="16" t="s">
        <v>138</v>
      </c>
      <c r="J2909" s="16">
        <v>17.057950384247999</v>
      </c>
      <c r="K2909" s="16">
        <v>-96.823105995777993</v>
      </c>
      <c r="L2909" s="16" t="str">
        <f>HYPERLINK("https://maps.google.com/?q=17.057950384248,-96.823105995778", "🔗 Ver Mapa")</f>
        <v>🔗 Ver Mapa</v>
      </c>
    </row>
    <row r="2910" spans="1:12" ht="43.5" x14ac:dyDescent="0.35">
      <c r="A2910" s="6" t="s">
        <v>270</v>
      </c>
      <c r="B2910" s="6" t="s">
        <v>271</v>
      </c>
      <c r="C2910" s="6" t="s">
        <v>1430</v>
      </c>
      <c r="D2910" s="11" t="s">
        <v>273</v>
      </c>
      <c r="E2910" s="17" t="s">
        <v>75</v>
      </c>
      <c r="F2910" s="17" t="s">
        <v>86</v>
      </c>
      <c r="G2910" s="11" t="s">
        <v>963</v>
      </c>
      <c r="H2910" s="11" t="s">
        <v>1431</v>
      </c>
      <c r="I2910" s="17" t="s">
        <v>138</v>
      </c>
      <c r="J2910" s="17">
        <v>17.058092455337</v>
      </c>
      <c r="K2910" s="17">
        <v>-96.825045683184996</v>
      </c>
      <c r="L2910" s="17" t="str">
        <f>HYPERLINK("https://maps.google.com/?q=17.058092455337,-96.825045683185", "🔗 Ver Mapa")</f>
        <v>🔗 Ver Mapa</v>
      </c>
    </row>
    <row r="2911" spans="1:12" ht="43.5" x14ac:dyDescent="0.35">
      <c r="A2911" s="5" t="s">
        <v>270</v>
      </c>
      <c r="B2911" s="5" t="s">
        <v>271</v>
      </c>
      <c r="C2911" s="5" t="s">
        <v>1430</v>
      </c>
      <c r="D2911" s="8" t="s">
        <v>273</v>
      </c>
      <c r="E2911" s="16" t="s">
        <v>75</v>
      </c>
      <c r="F2911" s="16" t="s">
        <v>86</v>
      </c>
      <c r="G2911" s="8" t="s">
        <v>963</v>
      </c>
      <c r="H2911" s="8" t="s">
        <v>1431</v>
      </c>
      <c r="I2911" s="16" t="s">
        <v>138</v>
      </c>
      <c r="J2911" s="16">
        <v>17.058204916883</v>
      </c>
      <c r="K2911" s="16">
        <v>-96.823760647086999</v>
      </c>
      <c r="L2911" s="16" t="str">
        <f>HYPERLINK("https://maps.google.com/?q=17.058204916883,-96.823760647087", "🔗 Ver Mapa")</f>
        <v>🔗 Ver Mapa</v>
      </c>
    </row>
    <row r="2912" spans="1:12" ht="43.5" x14ac:dyDescent="0.35">
      <c r="A2912" s="6" t="s">
        <v>270</v>
      </c>
      <c r="B2912" s="6" t="s">
        <v>271</v>
      </c>
      <c r="C2912" s="6" t="s">
        <v>1430</v>
      </c>
      <c r="D2912" s="11" t="s">
        <v>273</v>
      </c>
      <c r="E2912" s="17" t="s">
        <v>75</v>
      </c>
      <c r="F2912" s="17" t="s">
        <v>86</v>
      </c>
      <c r="G2912" s="11" t="s">
        <v>963</v>
      </c>
      <c r="H2912" s="11" t="s">
        <v>1431</v>
      </c>
      <c r="I2912" s="17" t="s">
        <v>138</v>
      </c>
      <c r="J2912" s="17">
        <v>17.058706881656001</v>
      </c>
      <c r="K2912" s="17">
        <v>-96.824526239999997</v>
      </c>
      <c r="L2912" s="17" t="str">
        <f>HYPERLINK("https://maps.google.com/?q=17.058706881656,-96.82452624", "🔗 Ver Mapa")</f>
        <v>🔗 Ver Mapa</v>
      </c>
    </row>
    <row r="2913" spans="1:12" ht="43.5" x14ac:dyDescent="0.35">
      <c r="A2913" s="5" t="s">
        <v>270</v>
      </c>
      <c r="B2913" s="5" t="s">
        <v>271</v>
      </c>
      <c r="C2913" s="5" t="s">
        <v>1430</v>
      </c>
      <c r="D2913" s="8" t="s">
        <v>273</v>
      </c>
      <c r="E2913" s="16" t="s">
        <v>75</v>
      </c>
      <c r="F2913" s="16" t="s">
        <v>86</v>
      </c>
      <c r="G2913" s="8" t="s">
        <v>963</v>
      </c>
      <c r="H2913" s="8" t="s">
        <v>1431</v>
      </c>
      <c r="I2913" s="16" t="s">
        <v>138</v>
      </c>
      <c r="J2913" s="16">
        <v>17.058962731819001</v>
      </c>
      <c r="K2913" s="16">
        <v>-96.822143342550007</v>
      </c>
      <c r="L2913" s="16" t="str">
        <f>HYPERLINK("https://maps.google.com/?q=17.058962731819,-96.82214334255", "🔗 Ver Mapa")</f>
        <v>🔗 Ver Mapa</v>
      </c>
    </row>
    <row r="2914" spans="1:12" ht="43.5" x14ac:dyDescent="0.35">
      <c r="A2914" s="6" t="s">
        <v>270</v>
      </c>
      <c r="B2914" s="6" t="s">
        <v>271</v>
      </c>
      <c r="C2914" s="6" t="s">
        <v>1430</v>
      </c>
      <c r="D2914" s="11" t="s">
        <v>273</v>
      </c>
      <c r="E2914" s="17" t="s">
        <v>75</v>
      </c>
      <c r="F2914" s="17" t="s">
        <v>86</v>
      </c>
      <c r="G2914" s="11" t="s">
        <v>963</v>
      </c>
      <c r="H2914" s="11" t="s">
        <v>1431</v>
      </c>
      <c r="I2914" s="17" t="s">
        <v>138</v>
      </c>
      <c r="J2914" s="17">
        <v>17.061048924693999</v>
      </c>
      <c r="K2914" s="17">
        <v>-96.824351540755998</v>
      </c>
      <c r="L2914" s="17" t="str">
        <f>HYPERLINK("https://maps.google.com/?q=17.061048924694,-96.824351540756", "🔗 Ver Mapa")</f>
        <v>🔗 Ver Mapa</v>
      </c>
    </row>
    <row r="2915" spans="1:12" ht="43.5" x14ac:dyDescent="0.35">
      <c r="A2915" s="5" t="s">
        <v>270</v>
      </c>
      <c r="B2915" s="5" t="s">
        <v>271</v>
      </c>
      <c r="C2915" s="5" t="s">
        <v>1430</v>
      </c>
      <c r="D2915" s="8" t="s">
        <v>273</v>
      </c>
      <c r="E2915" s="16" t="s">
        <v>75</v>
      </c>
      <c r="F2915" s="16" t="s">
        <v>86</v>
      </c>
      <c r="G2915" s="8" t="s">
        <v>963</v>
      </c>
      <c r="H2915" s="8" t="s">
        <v>1431</v>
      </c>
      <c r="I2915" s="16" t="s">
        <v>138</v>
      </c>
      <c r="J2915" s="16">
        <v>17.062354848910001</v>
      </c>
      <c r="K2915" s="16">
        <v>-96.819437976686999</v>
      </c>
      <c r="L2915" s="16" t="str">
        <f>HYPERLINK("https://maps.google.com/?q=17.06235484891,-96.819437976687", "🔗 Ver Mapa")</f>
        <v>🔗 Ver Mapa</v>
      </c>
    </row>
    <row r="2916" spans="1:12" ht="29" x14ac:dyDescent="0.35">
      <c r="A2916" s="6" t="s">
        <v>574</v>
      </c>
      <c r="B2916" s="6" t="s">
        <v>575</v>
      </c>
      <c r="C2916" s="6" t="s">
        <v>576</v>
      </c>
      <c r="D2916" s="11" t="s">
        <v>62</v>
      </c>
      <c r="E2916" s="17" t="s">
        <v>75</v>
      </c>
      <c r="F2916" s="17" t="s">
        <v>86</v>
      </c>
      <c r="G2916" s="11" t="s">
        <v>103</v>
      </c>
      <c r="H2916" s="11" t="s">
        <v>125</v>
      </c>
      <c r="I2916" s="17" t="s">
        <v>138</v>
      </c>
      <c r="J2916" s="17">
        <v>17.078447594107999</v>
      </c>
      <c r="K2916" s="17">
        <v>-96.711226860438998</v>
      </c>
      <c r="L2916" s="17" t="str">
        <f>HYPERLINK("https://maps.google.com/?q=17.078447594108,-96.711226860439", "🔗 Ver Mapa")</f>
        <v>🔗 Ver Mapa</v>
      </c>
    </row>
    <row r="2917" spans="1:12" ht="58" x14ac:dyDescent="0.35">
      <c r="A2917" s="5" t="s">
        <v>7</v>
      </c>
      <c r="B2917" s="5" t="s">
        <v>20</v>
      </c>
      <c r="C2917" s="5" t="s">
        <v>1432</v>
      </c>
      <c r="D2917" s="8" t="s">
        <v>67</v>
      </c>
      <c r="E2917" s="16" t="s">
        <v>73</v>
      </c>
      <c r="F2917" s="16" t="s">
        <v>83</v>
      </c>
      <c r="G2917" s="8" t="s">
        <v>1433</v>
      </c>
      <c r="H2917" s="8" t="s">
        <v>1434</v>
      </c>
      <c r="I2917" s="16" t="s">
        <v>138</v>
      </c>
      <c r="J2917" s="16">
        <v>17.233257999999999</v>
      </c>
      <c r="K2917" s="16">
        <v>-97.548610999999994</v>
      </c>
      <c r="L2917" s="16" t="str">
        <f>HYPERLINK("https://maps.google.com/?q=17.233258,-97.548611", "🔗 Ver Mapa")</f>
        <v>🔗 Ver Mapa</v>
      </c>
    </row>
    <row r="2918" spans="1:12" ht="29" x14ac:dyDescent="0.35">
      <c r="A2918" s="6" t="s">
        <v>11</v>
      </c>
      <c r="B2918" s="6" t="s">
        <v>24</v>
      </c>
      <c r="C2918" s="6" t="s">
        <v>1435</v>
      </c>
      <c r="D2918" s="11" t="s">
        <v>71</v>
      </c>
      <c r="E2918" s="17" t="s">
        <v>78</v>
      </c>
      <c r="F2918" s="17" t="s">
        <v>399</v>
      </c>
      <c r="G2918" s="11" t="s">
        <v>1109</v>
      </c>
      <c r="H2918" s="11" t="s">
        <v>1436</v>
      </c>
      <c r="I2918" s="17" t="s">
        <v>138</v>
      </c>
      <c r="J2918" s="17">
        <v>17.275471</v>
      </c>
      <c r="K2918" s="17">
        <v>-96.415300000000002</v>
      </c>
      <c r="L2918" s="17" t="str">
        <f>HYPERLINK("https://maps.google.com/?q=17.275471,-96.4153", "🔗 Ver Mapa")</f>
        <v>🔗 Ver Mapa</v>
      </c>
    </row>
    <row r="2919" spans="1:12" ht="29" x14ac:dyDescent="0.35">
      <c r="A2919" s="5" t="s">
        <v>11</v>
      </c>
      <c r="B2919" s="5" t="s">
        <v>24</v>
      </c>
      <c r="C2919" s="5" t="s">
        <v>1437</v>
      </c>
      <c r="D2919" s="8" t="s">
        <v>71</v>
      </c>
      <c r="E2919" s="16" t="s">
        <v>75</v>
      </c>
      <c r="F2919" s="16" t="s">
        <v>84</v>
      </c>
      <c r="G2919" s="8" t="s">
        <v>783</v>
      </c>
      <c r="H2919" s="8" t="s">
        <v>784</v>
      </c>
      <c r="I2919" s="16" t="s">
        <v>138</v>
      </c>
      <c r="J2919" s="16">
        <v>17.119433000000001</v>
      </c>
      <c r="K2919" s="16">
        <v>-96.423627999999994</v>
      </c>
      <c r="L2919" s="16" t="str">
        <f>HYPERLINK("https://maps.google.com/?q=17.119433,-96.423628", "🔗 Ver Mapa")</f>
        <v>🔗 Ver Mapa</v>
      </c>
    </row>
    <row r="2920" spans="1:12" ht="29" x14ac:dyDescent="0.35">
      <c r="A2920" s="6" t="s">
        <v>11</v>
      </c>
      <c r="B2920" s="6" t="s">
        <v>24</v>
      </c>
      <c r="C2920" s="6" t="s">
        <v>1438</v>
      </c>
      <c r="D2920" s="11" t="s">
        <v>71</v>
      </c>
      <c r="E2920" s="17" t="s">
        <v>79</v>
      </c>
      <c r="F2920" s="17" t="s">
        <v>390</v>
      </c>
      <c r="G2920" s="11" t="s">
        <v>391</v>
      </c>
      <c r="H2920" s="11" t="s">
        <v>1439</v>
      </c>
      <c r="I2920" s="17" t="s">
        <v>138</v>
      </c>
      <c r="J2920" s="17">
        <v>16.82329</v>
      </c>
      <c r="K2920" s="17">
        <v>-97.723099000000005</v>
      </c>
      <c r="L2920" s="17" t="str">
        <f>HYPERLINK("https://maps.google.com/?q=16.82329,-97.723099", "🔗 Ver Mapa")</f>
        <v>🔗 Ver Mapa</v>
      </c>
    </row>
    <row r="2921" spans="1:12" ht="29" x14ac:dyDescent="0.35">
      <c r="A2921" s="5" t="s">
        <v>11</v>
      </c>
      <c r="B2921" s="5" t="s">
        <v>24</v>
      </c>
      <c r="C2921" s="5" t="s">
        <v>1440</v>
      </c>
      <c r="D2921" s="8" t="s">
        <v>71</v>
      </c>
      <c r="E2921" s="16" t="s">
        <v>78</v>
      </c>
      <c r="F2921" s="16" t="s">
        <v>399</v>
      </c>
      <c r="G2921" s="8" t="s">
        <v>1109</v>
      </c>
      <c r="H2921" s="8" t="s">
        <v>1441</v>
      </c>
      <c r="I2921" s="16" t="s">
        <v>138</v>
      </c>
      <c r="J2921" s="16">
        <v>17.262522000000001</v>
      </c>
      <c r="K2921" s="16">
        <v>-96.396569</v>
      </c>
      <c r="L2921" s="16" t="str">
        <f>HYPERLINK("https://maps.google.com/?q=17.262522,-96.396569", "🔗 Ver Mapa")</f>
        <v>🔗 Ver Mapa</v>
      </c>
    </row>
    <row r="2922" spans="1:12" ht="29" x14ac:dyDescent="0.35">
      <c r="A2922" s="6" t="s">
        <v>11</v>
      </c>
      <c r="B2922" s="6" t="s">
        <v>24</v>
      </c>
      <c r="C2922" s="6" t="s">
        <v>1442</v>
      </c>
      <c r="D2922" s="11" t="s">
        <v>71</v>
      </c>
      <c r="E2922" s="17" t="s">
        <v>78</v>
      </c>
      <c r="F2922" s="17" t="s">
        <v>399</v>
      </c>
      <c r="G2922" s="11" t="s">
        <v>1443</v>
      </c>
      <c r="H2922" s="11" t="s">
        <v>1444</v>
      </c>
      <c r="I2922" s="17" t="s">
        <v>138</v>
      </c>
      <c r="J2922" s="17">
        <v>17.236819000000001</v>
      </c>
      <c r="K2922" s="17">
        <v>-96.641261</v>
      </c>
      <c r="L2922" s="17" t="str">
        <f>HYPERLINK("https://maps.google.com/?q=17.236819,-96.641261", "🔗 Ver Mapa")</f>
        <v>🔗 Ver Mapa</v>
      </c>
    </row>
    <row r="2923" spans="1:12" ht="29" x14ac:dyDescent="0.35">
      <c r="A2923" s="5" t="s">
        <v>11</v>
      </c>
      <c r="B2923" s="5" t="s">
        <v>24</v>
      </c>
      <c r="C2923" s="5" t="s">
        <v>1445</v>
      </c>
      <c r="D2923" s="8" t="s">
        <v>71</v>
      </c>
      <c r="E2923" s="16" t="s">
        <v>78</v>
      </c>
      <c r="F2923" s="16" t="s">
        <v>399</v>
      </c>
      <c r="G2923" s="8" t="s">
        <v>680</v>
      </c>
      <c r="H2923" s="8" t="s">
        <v>1446</v>
      </c>
      <c r="I2923" s="16" t="s">
        <v>138</v>
      </c>
      <c r="J2923" s="16">
        <v>17.556214000000001</v>
      </c>
      <c r="K2923" s="16">
        <v>-96.566325000000006</v>
      </c>
      <c r="L2923" s="16" t="str">
        <f>HYPERLINK("https://maps.google.com/?q=17.556214,-96.566325", "🔗 Ver Mapa")</f>
        <v>🔗 Ver Mapa</v>
      </c>
    </row>
    <row r="2924" spans="1:12" ht="29" x14ac:dyDescent="0.35">
      <c r="A2924" s="6" t="s">
        <v>11</v>
      </c>
      <c r="B2924" s="6" t="s">
        <v>24</v>
      </c>
      <c r="C2924" s="6" t="s">
        <v>1447</v>
      </c>
      <c r="D2924" s="11" t="s">
        <v>71</v>
      </c>
      <c r="E2924" s="17" t="s">
        <v>78</v>
      </c>
      <c r="F2924" s="17" t="s">
        <v>90</v>
      </c>
      <c r="G2924" s="11" t="s">
        <v>109</v>
      </c>
      <c r="H2924" s="11" t="s">
        <v>1448</v>
      </c>
      <c r="I2924" s="17" t="s">
        <v>138</v>
      </c>
      <c r="J2924" s="17">
        <v>16.943947000000001</v>
      </c>
      <c r="K2924" s="17">
        <v>-96.070796999999999</v>
      </c>
      <c r="L2924" s="17" t="str">
        <f>HYPERLINK("https://maps.google.com/?q=16.943947,-96.070797", "🔗 Ver Mapa")</f>
        <v>🔗 Ver Mapa</v>
      </c>
    </row>
    <row r="2925" spans="1:12" ht="43.5" x14ac:dyDescent="0.35">
      <c r="A2925" s="5" t="s">
        <v>11</v>
      </c>
      <c r="B2925" s="5" t="s">
        <v>24</v>
      </c>
      <c r="C2925" s="5" t="s">
        <v>1449</v>
      </c>
      <c r="D2925" s="8" t="s">
        <v>71</v>
      </c>
      <c r="E2925" s="16" t="s">
        <v>79</v>
      </c>
      <c r="F2925" s="16" t="s">
        <v>390</v>
      </c>
      <c r="G2925" s="8" t="s">
        <v>1450</v>
      </c>
      <c r="H2925" s="8" t="s">
        <v>1451</v>
      </c>
      <c r="I2925" s="16" t="s">
        <v>138</v>
      </c>
      <c r="J2925" s="16">
        <v>16.82638</v>
      </c>
      <c r="K2925" s="16">
        <v>-97.764274999999998</v>
      </c>
      <c r="L2925" s="16" t="str">
        <f>HYPERLINK("https://maps.google.com/?q=16.82638,-97.764275", "🔗 Ver Mapa")</f>
        <v>🔗 Ver Mapa</v>
      </c>
    </row>
    <row r="2926" spans="1:12" ht="29" x14ac:dyDescent="0.35">
      <c r="A2926" s="6" t="s">
        <v>11</v>
      </c>
      <c r="B2926" s="6" t="s">
        <v>24</v>
      </c>
      <c r="C2926" s="6" t="s">
        <v>1452</v>
      </c>
      <c r="D2926" s="11" t="s">
        <v>71</v>
      </c>
      <c r="E2926" s="17" t="s">
        <v>79</v>
      </c>
      <c r="F2926" s="17" t="s">
        <v>390</v>
      </c>
      <c r="G2926" s="11" t="s">
        <v>1453</v>
      </c>
      <c r="H2926" s="11" t="s">
        <v>1454</v>
      </c>
      <c r="I2926" s="17" t="s">
        <v>138</v>
      </c>
      <c r="J2926" s="17">
        <v>16.665125</v>
      </c>
      <c r="K2926" s="17">
        <v>-97.8553</v>
      </c>
      <c r="L2926" s="17" t="str">
        <f>HYPERLINK("https://maps.google.com/?q=16.665125,-97.8553", "🔗 Ver Mapa")</f>
        <v>🔗 Ver Mapa</v>
      </c>
    </row>
    <row r="2927" spans="1:12" ht="29" x14ac:dyDescent="0.35">
      <c r="A2927" s="5" t="s">
        <v>11</v>
      </c>
      <c r="B2927" s="5" t="s">
        <v>24</v>
      </c>
      <c r="C2927" s="5" t="s">
        <v>1455</v>
      </c>
      <c r="D2927" s="8" t="s">
        <v>71</v>
      </c>
      <c r="E2927" s="16" t="s">
        <v>79</v>
      </c>
      <c r="F2927" s="16" t="s">
        <v>390</v>
      </c>
      <c r="G2927" s="8" t="s">
        <v>1453</v>
      </c>
      <c r="H2927" s="8" t="s">
        <v>1456</v>
      </c>
      <c r="I2927" s="16" t="s">
        <v>138</v>
      </c>
      <c r="J2927" s="16">
        <v>16.648475000000001</v>
      </c>
      <c r="K2927" s="16">
        <v>-97.881608</v>
      </c>
      <c r="L2927" s="16" t="str">
        <f>HYPERLINK("https://maps.google.com/?q=16.648475,-97.881608", "🔗 Ver Mapa")</f>
        <v>🔗 Ver Mapa</v>
      </c>
    </row>
    <row r="2928" spans="1:12" ht="29" x14ac:dyDescent="0.35">
      <c r="A2928" s="6" t="s">
        <v>11</v>
      </c>
      <c r="B2928" s="6" t="s">
        <v>24</v>
      </c>
      <c r="C2928" s="6" t="s">
        <v>1457</v>
      </c>
      <c r="D2928" s="11" t="s">
        <v>71</v>
      </c>
      <c r="E2928" s="17" t="s">
        <v>79</v>
      </c>
      <c r="F2928" s="17" t="s">
        <v>390</v>
      </c>
      <c r="G2928" s="11" t="s">
        <v>1453</v>
      </c>
      <c r="H2928" s="11" t="s">
        <v>1458</v>
      </c>
      <c r="I2928" s="17" t="s">
        <v>138</v>
      </c>
      <c r="J2928" s="17">
        <v>16.709211</v>
      </c>
      <c r="K2928" s="17">
        <v>-97.864177999999995</v>
      </c>
      <c r="L2928" s="17" t="str">
        <f>HYPERLINK("https://maps.google.com/?q=16.709211,-97.864178", "🔗 Ver Mapa")</f>
        <v>🔗 Ver Mapa</v>
      </c>
    </row>
    <row r="2929" spans="1:12" ht="29" x14ac:dyDescent="0.35">
      <c r="A2929" s="5" t="s">
        <v>11</v>
      </c>
      <c r="B2929" s="5" t="s">
        <v>24</v>
      </c>
      <c r="C2929" s="5" t="s">
        <v>1459</v>
      </c>
      <c r="D2929" s="8" t="s">
        <v>71</v>
      </c>
      <c r="E2929" s="16" t="s">
        <v>79</v>
      </c>
      <c r="F2929" s="16" t="s">
        <v>390</v>
      </c>
      <c r="G2929" s="8" t="s">
        <v>391</v>
      </c>
      <c r="H2929" s="8" t="s">
        <v>1460</v>
      </c>
      <c r="I2929" s="16" t="s">
        <v>138</v>
      </c>
      <c r="J2929" s="16">
        <v>16.625468999999999</v>
      </c>
      <c r="K2929" s="16">
        <v>-97.816755999999998</v>
      </c>
      <c r="L2929" s="16" t="str">
        <f>HYPERLINK("https://maps.google.com/?q=16.625469,-97.816756", "🔗 Ver Mapa")</f>
        <v>🔗 Ver Mapa</v>
      </c>
    </row>
    <row r="2930" spans="1:12" ht="29" x14ac:dyDescent="0.35">
      <c r="A2930" s="6" t="s">
        <v>11</v>
      </c>
      <c r="B2930" s="6" t="s">
        <v>24</v>
      </c>
      <c r="C2930" s="6" t="s">
        <v>1461</v>
      </c>
      <c r="D2930" s="11" t="s">
        <v>71</v>
      </c>
      <c r="E2930" s="17" t="s">
        <v>79</v>
      </c>
      <c r="F2930" s="17" t="s">
        <v>390</v>
      </c>
      <c r="G2930" s="11" t="s">
        <v>1462</v>
      </c>
      <c r="H2930" s="11" t="s">
        <v>1463</v>
      </c>
      <c r="I2930" s="17" t="s">
        <v>138</v>
      </c>
      <c r="J2930" s="17">
        <v>16.724191999999999</v>
      </c>
      <c r="K2930" s="17">
        <v>-97.866983000000005</v>
      </c>
      <c r="L2930" s="17" t="str">
        <f>HYPERLINK("https://maps.google.com/?q=16.724192,-97.866983", "🔗 Ver Mapa")</f>
        <v>🔗 Ver Mapa</v>
      </c>
    </row>
    <row r="2931" spans="1:12" ht="29" x14ac:dyDescent="0.35">
      <c r="A2931" s="5" t="s">
        <v>11</v>
      </c>
      <c r="B2931" s="5" t="s">
        <v>24</v>
      </c>
      <c r="C2931" s="5" t="s">
        <v>1464</v>
      </c>
      <c r="D2931" s="8" t="s">
        <v>71</v>
      </c>
      <c r="E2931" s="16" t="s">
        <v>79</v>
      </c>
      <c r="F2931" s="16" t="s">
        <v>390</v>
      </c>
      <c r="G2931" s="8" t="s">
        <v>1148</v>
      </c>
      <c r="H2931" s="8" t="s">
        <v>1465</v>
      </c>
      <c r="I2931" s="16" t="s">
        <v>138</v>
      </c>
      <c r="J2931" s="16">
        <v>16.805599000000001</v>
      </c>
      <c r="K2931" s="16">
        <v>-97.804998999999995</v>
      </c>
      <c r="L2931" s="16" t="str">
        <f>HYPERLINK("https://maps.google.com/?q=16.805599,-97.804999", "🔗 Ver Mapa")</f>
        <v>🔗 Ver Mapa</v>
      </c>
    </row>
    <row r="2932" spans="1:12" ht="29" x14ac:dyDescent="0.35">
      <c r="A2932" s="6" t="s">
        <v>11</v>
      </c>
      <c r="B2932" s="6" t="s">
        <v>24</v>
      </c>
      <c r="C2932" s="6" t="s">
        <v>1466</v>
      </c>
      <c r="D2932" s="11" t="s">
        <v>71</v>
      </c>
      <c r="E2932" s="17" t="s">
        <v>79</v>
      </c>
      <c r="F2932" s="17" t="s">
        <v>390</v>
      </c>
      <c r="G2932" s="11" t="s">
        <v>1148</v>
      </c>
      <c r="H2932" s="11" t="s">
        <v>1467</v>
      </c>
      <c r="I2932" s="17" t="s">
        <v>138</v>
      </c>
      <c r="J2932" s="17">
        <v>16.997436</v>
      </c>
      <c r="K2932" s="17">
        <v>-97.941171999999995</v>
      </c>
      <c r="L2932" s="17" t="str">
        <f>HYPERLINK("https://maps.google.com/?q=16.997436,-97.941172", "🔗 Ver Mapa")</f>
        <v>🔗 Ver Mapa</v>
      </c>
    </row>
    <row r="2933" spans="1:12" ht="29" x14ac:dyDescent="0.35">
      <c r="A2933" s="5" t="s">
        <v>11</v>
      </c>
      <c r="B2933" s="5" t="s">
        <v>24</v>
      </c>
      <c r="C2933" s="5" t="s">
        <v>1468</v>
      </c>
      <c r="D2933" s="8" t="s">
        <v>71</v>
      </c>
      <c r="E2933" s="16" t="s">
        <v>79</v>
      </c>
      <c r="F2933" s="16" t="s">
        <v>390</v>
      </c>
      <c r="G2933" s="8" t="s">
        <v>1153</v>
      </c>
      <c r="H2933" s="8" t="s">
        <v>1469</v>
      </c>
      <c r="I2933" s="16" t="s">
        <v>138</v>
      </c>
      <c r="J2933" s="16">
        <v>16.617881000000001</v>
      </c>
      <c r="K2933" s="16">
        <v>-97.933047000000002</v>
      </c>
      <c r="L2933" s="16" t="str">
        <f>HYPERLINK("https://maps.google.com/?q=16.617881,-97.933047", "🔗 Ver Mapa")</f>
        <v>🔗 Ver Mapa</v>
      </c>
    </row>
    <row r="2934" spans="1:12" ht="29" x14ac:dyDescent="0.35">
      <c r="A2934" s="6" t="s">
        <v>11</v>
      </c>
      <c r="B2934" s="6" t="s">
        <v>24</v>
      </c>
      <c r="C2934" s="6" t="s">
        <v>1470</v>
      </c>
      <c r="D2934" s="11" t="s">
        <v>71</v>
      </c>
      <c r="E2934" s="17" t="s">
        <v>74</v>
      </c>
      <c r="F2934" s="17" t="s">
        <v>82</v>
      </c>
      <c r="G2934" s="11" t="s">
        <v>1471</v>
      </c>
      <c r="H2934" s="11" t="s">
        <v>1472</v>
      </c>
      <c r="I2934" s="17" t="s">
        <v>138</v>
      </c>
      <c r="J2934" s="17">
        <v>16.544442</v>
      </c>
      <c r="K2934" s="17">
        <v>-97.838639000000001</v>
      </c>
      <c r="L2934" s="17" t="str">
        <f>HYPERLINK("https://maps.google.com/?q=16.544442,-97.838639", "🔗 Ver Mapa")</f>
        <v>🔗 Ver Mapa</v>
      </c>
    </row>
    <row r="2935" spans="1:12" ht="29" x14ac:dyDescent="0.35">
      <c r="A2935" s="5" t="s">
        <v>11</v>
      </c>
      <c r="B2935" s="5" t="s">
        <v>24</v>
      </c>
      <c r="C2935" s="5" t="s">
        <v>1473</v>
      </c>
      <c r="D2935" s="8" t="s">
        <v>71</v>
      </c>
      <c r="E2935" s="16" t="s">
        <v>74</v>
      </c>
      <c r="F2935" s="16" t="s">
        <v>82</v>
      </c>
      <c r="G2935" s="8" t="s">
        <v>1471</v>
      </c>
      <c r="H2935" s="8" t="s">
        <v>1474</v>
      </c>
      <c r="I2935" s="16" t="s">
        <v>138</v>
      </c>
      <c r="J2935" s="16">
        <v>16.543606</v>
      </c>
      <c r="K2935" s="16">
        <v>-97.822269000000006</v>
      </c>
      <c r="L2935" s="16" t="str">
        <f>HYPERLINK("https://maps.google.com/?q=16.543606,-97.822269", "🔗 Ver Mapa")</f>
        <v>🔗 Ver Mapa</v>
      </c>
    </row>
    <row r="2936" spans="1:12" ht="29" x14ac:dyDescent="0.35">
      <c r="A2936" s="6" t="s">
        <v>11</v>
      </c>
      <c r="B2936" s="6" t="s">
        <v>24</v>
      </c>
      <c r="C2936" s="6" t="s">
        <v>1475</v>
      </c>
      <c r="D2936" s="11" t="s">
        <v>71</v>
      </c>
      <c r="E2936" s="17" t="s">
        <v>74</v>
      </c>
      <c r="F2936" s="17" t="s">
        <v>82</v>
      </c>
      <c r="G2936" s="11" t="s">
        <v>1471</v>
      </c>
      <c r="H2936" s="11" t="s">
        <v>1476</v>
      </c>
      <c r="I2936" s="17" t="s">
        <v>138</v>
      </c>
      <c r="J2936" s="17">
        <v>16.547799999999999</v>
      </c>
      <c r="K2936" s="17">
        <v>-97.782657999999998</v>
      </c>
      <c r="L2936" s="17" t="str">
        <f>HYPERLINK("https://maps.google.com/?q=16.5478,-97.782658", "🔗 Ver Mapa")</f>
        <v>🔗 Ver Mapa</v>
      </c>
    </row>
    <row r="2937" spans="1:12" ht="29" x14ac:dyDescent="0.35">
      <c r="A2937" s="5" t="s">
        <v>11</v>
      </c>
      <c r="B2937" s="5" t="s">
        <v>24</v>
      </c>
      <c r="C2937" s="5" t="s">
        <v>1477</v>
      </c>
      <c r="D2937" s="8" t="s">
        <v>71</v>
      </c>
      <c r="E2937" s="16" t="s">
        <v>74</v>
      </c>
      <c r="F2937" s="16" t="s">
        <v>82</v>
      </c>
      <c r="G2937" s="8" t="s">
        <v>1478</v>
      </c>
      <c r="H2937" s="8" t="s">
        <v>1479</v>
      </c>
      <c r="I2937" s="16" t="s">
        <v>138</v>
      </c>
      <c r="J2937" s="16">
        <v>16.572013999999999</v>
      </c>
      <c r="K2937" s="16">
        <v>-97.868492000000003</v>
      </c>
      <c r="L2937" s="16" t="str">
        <f>HYPERLINK("https://maps.google.com/?q=16.572014,-97.868492", "🔗 Ver Mapa")</f>
        <v>🔗 Ver Mapa</v>
      </c>
    </row>
    <row r="2938" spans="1:12" ht="29" x14ac:dyDescent="0.35">
      <c r="A2938" s="6" t="s">
        <v>11</v>
      </c>
      <c r="B2938" s="6" t="s">
        <v>24</v>
      </c>
      <c r="C2938" s="6" t="s">
        <v>1480</v>
      </c>
      <c r="D2938" s="11" t="s">
        <v>71</v>
      </c>
      <c r="E2938" s="17" t="s">
        <v>74</v>
      </c>
      <c r="F2938" s="17" t="s">
        <v>82</v>
      </c>
      <c r="G2938" s="11" t="s">
        <v>1478</v>
      </c>
      <c r="H2938" s="11" t="s">
        <v>1481</v>
      </c>
      <c r="I2938" s="17" t="s">
        <v>138</v>
      </c>
      <c r="J2938" s="17">
        <v>16.534974999999999</v>
      </c>
      <c r="K2938" s="17">
        <v>-97.849152700000005</v>
      </c>
      <c r="L2938" s="17" t="str">
        <f>HYPERLINK("https://maps.google.com/?q=16.534975,-97.8491527", "🔗 Ver Mapa")</f>
        <v>🔗 Ver Mapa</v>
      </c>
    </row>
    <row r="2939" spans="1:12" ht="29" x14ac:dyDescent="0.35">
      <c r="A2939" s="5" t="s">
        <v>11</v>
      </c>
      <c r="B2939" s="5" t="s">
        <v>24</v>
      </c>
      <c r="C2939" s="5" t="s">
        <v>1482</v>
      </c>
      <c r="D2939" s="8" t="s">
        <v>71</v>
      </c>
      <c r="E2939" s="16" t="s">
        <v>73</v>
      </c>
      <c r="F2939" s="16" t="s">
        <v>83</v>
      </c>
      <c r="G2939" s="8" t="s">
        <v>1483</v>
      </c>
      <c r="H2939" s="8" t="s">
        <v>1484</v>
      </c>
      <c r="I2939" s="16" t="s">
        <v>138</v>
      </c>
      <c r="J2939" s="16">
        <v>17.160467000000001</v>
      </c>
      <c r="K2939" s="16">
        <v>-97.729183000000006</v>
      </c>
      <c r="L2939" s="16" t="str">
        <f>HYPERLINK("https://maps.google.com/?q=17.160467,-97.729183", "🔗 Ver Mapa")</f>
        <v>🔗 Ver Mapa</v>
      </c>
    </row>
    <row r="2940" spans="1:12" ht="43.5" x14ac:dyDescent="0.35">
      <c r="A2940" s="6" t="s">
        <v>7</v>
      </c>
      <c r="B2940" s="6" t="s">
        <v>20</v>
      </c>
      <c r="C2940" s="6" t="s">
        <v>1485</v>
      </c>
      <c r="D2940" s="11" t="s">
        <v>67</v>
      </c>
      <c r="E2940" s="17" t="s">
        <v>74</v>
      </c>
      <c r="F2940" s="17" t="s">
        <v>453</v>
      </c>
      <c r="G2940" s="11" t="s">
        <v>862</v>
      </c>
      <c r="H2940" s="11" t="s">
        <v>1486</v>
      </c>
      <c r="I2940" s="17" t="s">
        <v>138</v>
      </c>
      <c r="J2940" s="17">
        <v>16.109850000000002</v>
      </c>
      <c r="K2940" s="17">
        <v>-97.205188000000007</v>
      </c>
      <c r="L2940" s="17" t="str">
        <f>HYPERLINK("https://maps.google.com/?q=16.10985,-97.205188", "🔗 Ver Mapa")</f>
        <v>🔗 Ver Mapa</v>
      </c>
    </row>
    <row r="2941" spans="1:12" ht="43.5" x14ac:dyDescent="0.35">
      <c r="A2941" s="5" t="s">
        <v>1487</v>
      </c>
      <c r="B2941" s="5" t="s">
        <v>1488</v>
      </c>
      <c r="C2941" s="5" t="s">
        <v>51</v>
      </c>
      <c r="D2941" s="8" t="s">
        <v>67</v>
      </c>
      <c r="E2941" s="16" t="s">
        <v>74</v>
      </c>
      <c r="F2941" s="16" t="s">
        <v>89</v>
      </c>
      <c r="G2941" s="8" t="s">
        <v>111</v>
      </c>
      <c r="H2941" s="8" t="s">
        <v>133</v>
      </c>
      <c r="I2941" s="16" t="s">
        <v>139</v>
      </c>
      <c r="J2941" s="16">
        <v>15.722982820181</v>
      </c>
      <c r="K2941" s="16">
        <v>-96.166347103925006</v>
      </c>
      <c r="L2941" s="16" t="str">
        <f>HYPERLINK("https://maps.google.com/?q=15.722982820181,-96.166347103925", "🔗 Ver Mapa")</f>
        <v>🔗 Ver Mapa</v>
      </c>
    </row>
    <row r="2942" spans="1:12" ht="43.5" x14ac:dyDescent="0.35">
      <c r="A2942" s="6" t="s">
        <v>1487</v>
      </c>
      <c r="B2942" s="6" t="s">
        <v>1488</v>
      </c>
      <c r="C2942" s="6" t="s">
        <v>51</v>
      </c>
      <c r="D2942" s="11" t="s">
        <v>67</v>
      </c>
      <c r="E2942" s="17" t="s">
        <v>74</v>
      </c>
      <c r="F2942" s="17" t="s">
        <v>89</v>
      </c>
      <c r="G2942" s="11" t="s">
        <v>111</v>
      </c>
      <c r="H2942" s="11" t="s">
        <v>133</v>
      </c>
      <c r="I2942" s="17" t="s">
        <v>139</v>
      </c>
      <c r="J2942" s="17">
        <v>15.723313296602001</v>
      </c>
      <c r="K2942" s="17">
        <v>-96.152270871015006</v>
      </c>
      <c r="L2942" s="17" t="str">
        <f>HYPERLINK("https://maps.google.com/?q=15.723313296602,-96.152270871015", "🔗 Ver Mapa")</f>
        <v>🔗 Ver Mapa</v>
      </c>
    </row>
    <row r="2943" spans="1:12" ht="43.5" x14ac:dyDescent="0.35">
      <c r="A2943" s="5" t="s">
        <v>1487</v>
      </c>
      <c r="B2943" s="5" t="s">
        <v>1488</v>
      </c>
      <c r="C2943" s="5" t="s">
        <v>51</v>
      </c>
      <c r="D2943" s="8" t="s">
        <v>67</v>
      </c>
      <c r="E2943" s="16" t="s">
        <v>74</v>
      </c>
      <c r="F2943" s="16" t="s">
        <v>89</v>
      </c>
      <c r="G2943" s="8" t="s">
        <v>111</v>
      </c>
      <c r="H2943" s="8" t="s">
        <v>133</v>
      </c>
      <c r="I2943" s="16" t="s">
        <v>139</v>
      </c>
      <c r="J2943" s="16">
        <v>15.786754814723</v>
      </c>
      <c r="K2943" s="16">
        <v>-96.175445156904004</v>
      </c>
      <c r="L2943" s="16" t="str">
        <f>HYPERLINK("https://maps.google.com/?q=15.786754814723,-96.175445156904", "🔗 Ver Mapa")</f>
        <v>🔗 Ver Mapa</v>
      </c>
    </row>
    <row r="2944" spans="1:12" ht="43.5" x14ac:dyDescent="0.35">
      <c r="A2944" s="6" t="s">
        <v>1487</v>
      </c>
      <c r="B2944" s="6" t="s">
        <v>1488</v>
      </c>
      <c r="C2944" s="6" t="s">
        <v>51</v>
      </c>
      <c r="D2944" s="11" t="s">
        <v>67</v>
      </c>
      <c r="E2944" s="17" t="s">
        <v>74</v>
      </c>
      <c r="F2944" s="17" t="s">
        <v>89</v>
      </c>
      <c r="G2944" s="11" t="s">
        <v>111</v>
      </c>
      <c r="H2944" s="11" t="s">
        <v>133</v>
      </c>
      <c r="I2944" s="17" t="s">
        <v>139</v>
      </c>
      <c r="J2944" s="17">
        <v>15.787415559511</v>
      </c>
      <c r="K2944" s="17">
        <v>-96.047932203103997</v>
      </c>
      <c r="L2944" s="17" t="str">
        <f>HYPERLINK("https://maps.google.com/?q=15.787415559511,-96.047932203104", "🔗 Ver Mapa")</f>
        <v>🔗 Ver Mapa</v>
      </c>
    </row>
    <row r="2945" spans="1:12" ht="43.5" x14ac:dyDescent="0.35">
      <c r="A2945" s="5" t="s">
        <v>1487</v>
      </c>
      <c r="B2945" s="5" t="s">
        <v>1488</v>
      </c>
      <c r="C2945" s="5" t="s">
        <v>51</v>
      </c>
      <c r="D2945" s="8" t="s">
        <v>67</v>
      </c>
      <c r="E2945" s="16" t="s">
        <v>74</v>
      </c>
      <c r="F2945" s="16" t="s">
        <v>89</v>
      </c>
      <c r="G2945" s="8" t="s">
        <v>111</v>
      </c>
      <c r="H2945" s="8" t="s">
        <v>133</v>
      </c>
      <c r="I2945" s="16" t="s">
        <v>139</v>
      </c>
      <c r="J2945" s="16">
        <v>15.820780368067</v>
      </c>
      <c r="K2945" s="16">
        <v>-96.065784986306994</v>
      </c>
      <c r="L2945" s="16" t="str">
        <f>HYPERLINK("https://maps.google.com/?q=15.820780368067,-96.065784986307", "🔗 Ver Mapa")</f>
        <v>🔗 Ver Mapa</v>
      </c>
    </row>
    <row r="2946" spans="1:12" ht="43.5" x14ac:dyDescent="0.35">
      <c r="A2946" s="6" t="s">
        <v>7</v>
      </c>
      <c r="B2946" s="6" t="s">
        <v>20</v>
      </c>
      <c r="C2946" s="6" t="s">
        <v>1489</v>
      </c>
      <c r="D2946" s="11" t="s">
        <v>67</v>
      </c>
      <c r="E2946" s="17" t="s">
        <v>79</v>
      </c>
      <c r="F2946" s="17" t="s">
        <v>91</v>
      </c>
      <c r="G2946" s="11" t="s">
        <v>1490</v>
      </c>
      <c r="H2946" s="11" t="s">
        <v>1491</v>
      </c>
      <c r="I2946" s="17" t="s">
        <v>138</v>
      </c>
      <c r="J2946" s="17">
        <v>16.589231999999999</v>
      </c>
      <c r="K2946" s="17">
        <v>-97.226427000000001</v>
      </c>
      <c r="L2946" s="17" t="str">
        <f>HYPERLINK("https://maps.google.com/?q=16.589232,-97.226427", "🔗 Ver Mapa")</f>
        <v>🔗 Ver Mapa</v>
      </c>
    </row>
    <row r="2947" spans="1:12" ht="43.5" x14ac:dyDescent="0.35">
      <c r="A2947" s="5" t="s">
        <v>1492</v>
      </c>
      <c r="B2947" s="5" t="s">
        <v>1493</v>
      </c>
      <c r="C2947" s="5" t="s">
        <v>1494</v>
      </c>
      <c r="D2947" s="8" t="s">
        <v>61</v>
      </c>
      <c r="E2947" s="16" t="s">
        <v>287</v>
      </c>
      <c r="F2947" s="16" t="s">
        <v>288</v>
      </c>
      <c r="G2947" s="8" t="s">
        <v>718</v>
      </c>
      <c r="H2947" s="8" t="s">
        <v>1161</v>
      </c>
      <c r="I2947" s="16" t="s">
        <v>138</v>
      </c>
      <c r="J2947" s="16">
        <v>18.099877364811999</v>
      </c>
      <c r="K2947" s="16">
        <v>-95.895840727906005</v>
      </c>
      <c r="L2947" s="16" t="str">
        <f>HYPERLINK("https://maps.google.com/?q=18.099877364812,-95.895840727906", "🔗 Ver Mapa")</f>
        <v>🔗 Ver Mapa</v>
      </c>
    </row>
    <row r="2948" spans="1:12" ht="43.5" x14ac:dyDescent="0.35">
      <c r="A2948" s="6" t="s">
        <v>1</v>
      </c>
      <c r="B2948" s="6" t="s">
        <v>14</v>
      </c>
      <c r="C2948" s="6" t="s">
        <v>1495</v>
      </c>
      <c r="D2948" s="11" t="s">
        <v>61</v>
      </c>
      <c r="E2948" s="17" t="s">
        <v>77</v>
      </c>
      <c r="F2948" s="17" t="s">
        <v>201</v>
      </c>
      <c r="G2948" s="11" t="s">
        <v>869</v>
      </c>
      <c r="H2948" s="11" t="s">
        <v>1496</v>
      </c>
      <c r="I2948" s="17" t="s">
        <v>138</v>
      </c>
      <c r="J2948" s="17">
        <v>16.240011133462001</v>
      </c>
      <c r="K2948" s="17">
        <v>-95.198305889856002</v>
      </c>
      <c r="L2948" s="17" t="str">
        <f>HYPERLINK("https://maps.google.com/?q=16.240011133462,-95.198305889856", "🔗 Ver Mapa")</f>
        <v>🔗 Ver Mapa</v>
      </c>
    </row>
    <row r="2949" spans="1:12" ht="43.5" x14ac:dyDescent="0.35">
      <c r="A2949" s="5" t="s">
        <v>1497</v>
      </c>
      <c r="B2949" s="5" t="s">
        <v>1498</v>
      </c>
      <c r="C2949" s="5" t="s">
        <v>1499</v>
      </c>
      <c r="D2949" s="8" t="s">
        <v>65</v>
      </c>
      <c r="E2949" s="16" t="s">
        <v>75</v>
      </c>
      <c r="F2949" s="16" t="s">
        <v>86</v>
      </c>
      <c r="G2949" s="8" t="s">
        <v>103</v>
      </c>
      <c r="H2949" s="8" t="s">
        <v>125</v>
      </c>
      <c r="I2949" s="16" t="s">
        <v>138</v>
      </c>
      <c r="J2949" s="16">
        <v>17.062203660283</v>
      </c>
      <c r="K2949" s="16">
        <v>-96.725628907967007</v>
      </c>
      <c r="L2949" s="16" t="str">
        <f>HYPERLINK("https://maps.google.com/?q=17.062203660283,-96.725628907967", "🔗 Ver Mapa")</f>
        <v>🔗 Ver Mapa</v>
      </c>
    </row>
    <row r="2950" spans="1:12" ht="43.5" x14ac:dyDescent="0.35">
      <c r="A2950" s="6" t="s">
        <v>7</v>
      </c>
      <c r="B2950" s="6" t="s">
        <v>20</v>
      </c>
      <c r="C2950" s="6" t="s">
        <v>1500</v>
      </c>
      <c r="D2950" s="11" t="s">
        <v>67</v>
      </c>
      <c r="E2950" s="17" t="s">
        <v>75</v>
      </c>
      <c r="F2950" s="17" t="s">
        <v>86</v>
      </c>
      <c r="G2950" s="11" t="s">
        <v>103</v>
      </c>
      <c r="H2950" s="11" t="s">
        <v>125</v>
      </c>
      <c r="I2950" s="17" t="s">
        <v>138</v>
      </c>
      <c r="J2950" s="17">
        <v>17.042964000000001</v>
      </c>
      <c r="K2950" s="17">
        <v>-96.720545000000001</v>
      </c>
      <c r="L2950" s="17" t="str">
        <f>HYPERLINK("https://maps.google.com/?q=17.042964,-96.720545", "🔗 Ver Mapa")</f>
        <v>🔗 Ver Mapa</v>
      </c>
    </row>
    <row r="2951" spans="1:12" ht="43.5" x14ac:dyDescent="0.35">
      <c r="A2951" s="5" t="s">
        <v>7</v>
      </c>
      <c r="B2951" s="5" t="s">
        <v>20</v>
      </c>
      <c r="C2951" s="5" t="s">
        <v>1500</v>
      </c>
      <c r="D2951" s="8" t="s">
        <v>67</v>
      </c>
      <c r="E2951" s="16" t="s">
        <v>75</v>
      </c>
      <c r="F2951" s="16" t="s">
        <v>86</v>
      </c>
      <c r="G2951" s="8" t="s">
        <v>103</v>
      </c>
      <c r="H2951" s="8" t="s">
        <v>125</v>
      </c>
      <c r="I2951" s="16" t="s">
        <v>138</v>
      </c>
      <c r="J2951" s="16">
        <v>17.044833000000001</v>
      </c>
      <c r="K2951" s="16">
        <v>-96.721863999999997</v>
      </c>
      <c r="L2951" s="16" t="str">
        <f>HYPERLINK("https://maps.google.com/?q=17.044833,-96.721864", "🔗 Ver Mapa")</f>
        <v>🔗 Ver Mapa</v>
      </c>
    </row>
    <row r="2952" spans="1:12" ht="43.5" x14ac:dyDescent="0.35">
      <c r="A2952" s="6" t="s">
        <v>7</v>
      </c>
      <c r="B2952" s="6" t="s">
        <v>20</v>
      </c>
      <c r="C2952" s="6" t="s">
        <v>1500</v>
      </c>
      <c r="D2952" s="11" t="s">
        <v>67</v>
      </c>
      <c r="E2952" s="17" t="s">
        <v>75</v>
      </c>
      <c r="F2952" s="17" t="s">
        <v>86</v>
      </c>
      <c r="G2952" s="11" t="s">
        <v>103</v>
      </c>
      <c r="H2952" s="11" t="s">
        <v>125</v>
      </c>
      <c r="I2952" s="17" t="s">
        <v>138</v>
      </c>
      <c r="J2952" s="17">
        <v>17.046669000000001</v>
      </c>
      <c r="K2952" s="17">
        <v>-96.723180999999997</v>
      </c>
      <c r="L2952" s="17" t="str">
        <f>HYPERLINK("https://maps.google.com/?q=17.046669,-96.723181", "🔗 Ver Mapa")</f>
        <v>🔗 Ver Mapa</v>
      </c>
    </row>
    <row r="2953" spans="1:12" ht="43.5" x14ac:dyDescent="0.35">
      <c r="A2953" s="5" t="s">
        <v>7</v>
      </c>
      <c r="B2953" s="5" t="s">
        <v>20</v>
      </c>
      <c r="C2953" s="5" t="s">
        <v>1500</v>
      </c>
      <c r="D2953" s="8" t="s">
        <v>67</v>
      </c>
      <c r="E2953" s="16" t="s">
        <v>75</v>
      </c>
      <c r="F2953" s="16" t="s">
        <v>86</v>
      </c>
      <c r="G2953" s="8" t="s">
        <v>103</v>
      </c>
      <c r="H2953" s="8" t="s">
        <v>125</v>
      </c>
      <c r="I2953" s="16" t="s">
        <v>138</v>
      </c>
      <c r="J2953" s="16">
        <v>17.073250000000002</v>
      </c>
      <c r="K2953" s="16">
        <v>-96.726699999999994</v>
      </c>
      <c r="L2953" s="16" t="str">
        <f>HYPERLINK("https://maps.google.com/?q=17.07325,-96.7267", "🔗 Ver Mapa")</f>
        <v>🔗 Ver Mapa</v>
      </c>
    </row>
    <row r="2954" spans="1:12" ht="43.5" x14ac:dyDescent="0.35">
      <c r="A2954" s="6" t="s">
        <v>7</v>
      </c>
      <c r="B2954" s="6" t="s">
        <v>20</v>
      </c>
      <c r="C2954" s="6" t="s">
        <v>1500</v>
      </c>
      <c r="D2954" s="11" t="s">
        <v>67</v>
      </c>
      <c r="E2954" s="17" t="s">
        <v>75</v>
      </c>
      <c r="F2954" s="17" t="s">
        <v>86</v>
      </c>
      <c r="G2954" s="11" t="s">
        <v>103</v>
      </c>
      <c r="H2954" s="11" t="s">
        <v>125</v>
      </c>
      <c r="I2954" s="17" t="s">
        <v>138</v>
      </c>
      <c r="J2954" s="17">
        <v>17.073422000000001</v>
      </c>
      <c r="K2954" s="17">
        <v>-96.727720000000005</v>
      </c>
      <c r="L2954" s="17" t="str">
        <f>HYPERLINK("https://maps.google.com/?q=17.073422,-96.72772", "🔗 Ver Mapa")</f>
        <v>🔗 Ver Mapa</v>
      </c>
    </row>
    <row r="2955" spans="1:12" ht="43.5" x14ac:dyDescent="0.35">
      <c r="A2955" s="5" t="s">
        <v>7</v>
      </c>
      <c r="B2955" s="5" t="s">
        <v>20</v>
      </c>
      <c r="C2955" s="5" t="s">
        <v>1500</v>
      </c>
      <c r="D2955" s="8" t="s">
        <v>67</v>
      </c>
      <c r="E2955" s="16" t="s">
        <v>75</v>
      </c>
      <c r="F2955" s="16" t="s">
        <v>86</v>
      </c>
      <c r="G2955" s="8" t="s">
        <v>103</v>
      </c>
      <c r="H2955" s="8" t="s">
        <v>125</v>
      </c>
      <c r="I2955" s="16" t="s">
        <v>138</v>
      </c>
      <c r="J2955" s="16">
        <v>17.080065000000001</v>
      </c>
      <c r="K2955" s="16">
        <v>-96.741591999999997</v>
      </c>
      <c r="L2955" s="16" t="str">
        <f>HYPERLINK("https://maps.google.com/?q=17.080065,-96.741592", "🔗 Ver Mapa")</f>
        <v>🔗 Ver Mapa</v>
      </c>
    </row>
    <row r="2956" spans="1:12" ht="43.5" x14ac:dyDescent="0.35">
      <c r="A2956" s="6" t="s">
        <v>7</v>
      </c>
      <c r="B2956" s="6" t="s">
        <v>20</v>
      </c>
      <c r="C2956" s="6" t="s">
        <v>1500</v>
      </c>
      <c r="D2956" s="11" t="s">
        <v>67</v>
      </c>
      <c r="E2956" s="17" t="s">
        <v>75</v>
      </c>
      <c r="F2956" s="17" t="s">
        <v>86</v>
      </c>
      <c r="G2956" s="11" t="s">
        <v>103</v>
      </c>
      <c r="H2956" s="11" t="s">
        <v>125</v>
      </c>
      <c r="I2956" s="17" t="s">
        <v>138</v>
      </c>
      <c r="J2956" s="17">
        <v>17.080065999999999</v>
      </c>
      <c r="K2956" s="17">
        <v>-96.741591999999997</v>
      </c>
      <c r="L2956" s="17" t="str">
        <f>HYPERLINK("https://maps.google.com/?q=17.080066,-96.741592", "🔗 Ver Mapa")</f>
        <v>🔗 Ver Mapa</v>
      </c>
    </row>
    <row r="2957" spans="1:12" ht="43.5" x14ac:dyDescent="0.35">
      <c r="A2957" s="5" t="s">
        <v>7</v>
      </c>
      <c r="B2957" s="5" t="s">
        <v>20</v>
      </c>
      <c r="C2957" s="5" t="s">
        <v>1500</v>
      </c>
      <c r="D2957" s="8" t="s">
        <v>67</v>
      </c>
      <c r="E2957" s="16" t="s">
        <v>75</v>
      </c>
      <c r="F2957" s="16" t="s">
        <v>86</v>
      </c>
      <c r="G2957" s="8" t="s">
        <v>103</v>
      </c>
      <c r="H2957" s="8" t="s">
        <v>125</v>
      </c>
      <c r="I2957" s="16" t="s">
        <v>138</v>
      </c>
      <c r="J2957" s="16">
        <v>17.080262999999999</v>
      </c>
      <c r="K2957" s="16">
        <v>-96.743502000000007</v>
      </c>
      <c r="L2957" s="16" t="str">
        <f>HYPERLINK("https://maps.google.com/?q=17.080263,-96.743502", "🔗 Ver Mapa")</f>
        <v>🔗 Ver Mapa</v>
      </c>
    </row>
    <row r="2958" spans="1:12" ht="43.5" x14ac:dyDescent="0.35">
      <c r="A2958" s="6" t="s">
        <v>7</v>
      </c>
      <c r="B2958" s="6" t="s">
        <v>20</v>
      </c>
      <c r="C2958" s="6" t="s">
        <v>1500</v>
      </c>
      <c r="D2958" s="11" t="s">
        <v>67</v>
      </c>
      <c r="E2958" s="17" t="s">
        <v>75</v>
      </c>
      <c r="F2958" s="17" t="s">
        <v>86</v>
      </c>
      <c r="G2958" s="11" t="s">
        <v>103</v>
      </c>
      <c r="H2958" s="11" t="s">
        <v>125</v>
      </c>
      <c r="I2958" s="17" t="s">
        <v>138</v>
      </c>
      <c r="J2958" s="17">
        <v>17.082218000000001</v>
      </c>
      <c r="K2958" s="17">
        <v>-96.743578999999997</v>
      </c>
      <c r="L2958" s="17" t="str">
        <f>HYPERLINK("https://maps.google.com/?q=17.082218,-96.743579", "🔗 Ver Mapa")</f>
        <v>🔗 Ver Mapa</v>
      </c>
    </row>
    <row r="2959" spans="1:12" ht="43.5" x14ac:dyDescent="0.35">
      <c r="A2959" s="5" t="s">
        <v>7</v>
      </c>
      <c r="B2959" s="5" t="s">
        <v>20</v>
      </c>
      <c r="C2959" s="5" t="s">
        <v>1500</v>
      </c>
      <c r="D2959" s="8" t="s">
        <v>67</v>
      </c>
      <c r="E2959" s="16" t="s">
        <v>75</v>
      </c>
      <c r="F2959" s="16" t="s">
        <v>86</v>
      </c>
      <c r="G2959" s="8" t="s">
        <v>103</v>
      </c>
      <c r="H2959" s="8" t="s">
        <v>125</v>
      </c>
      <c r="I2959" s="16" t="s">
        <v>138</v>
      </c>
      <c r="J2959" s="16">
        <v>17.101673000000002</v>
      </c>
      <c r="K2959" s="16">
        <v>-96.751930000000002</v>
      </c>
      <c r="L2959" s="16" t="str">
        <f>HYPERLINK("https://maps.google.com/?q=17.101673,-96.75193", "🔗 Ver Mapa")</f>
        <v>🔗 Ver Mapa</v>
      </c>
    </row>
    <row r="2960" spans="1:12" ht="43.5" x14ac:dyDescent="0.35">
      <c r="A2960" s="6" t="s">
        <v>7</v>
      </c>
      <c r="B2960" s="6" t="s">
        <v>20</v>
      </c>
      <c r="C2960" s="6" t="s">
        <v>1500</v>
      </c>
      <c r="D2960" s="11" t="s">
        <v>67</v>
      </c>
      <c r="E2960" s="17" t="s">
        <v>75</v>
      </c>
      <c r="F2960" s="17" t="s">
        <v>86</v>
      </c>
      <c r="G2960" s="11" t="s">
        <v>103</v>
      </c>
      <c r="H2960" s="11" t="s">
        <v>125</v>
      </c>
      <c r="I2960" s="17" t="s">
        <v>138</v>
      </c>
      <c r="J2960" s="17">
        <v>17.122212999999999</v>
      </c>
      <c r="K2960" s="17">
        <v>-96.764268999999999</v>
      </c>
      <c r="L2960" s="17" t="str">
        <f>HYPERLINK("https://maps.google.com/?q=17.122213,-96.764269", "🔗 Ver Mapa")</f>
        <v>🔗 Ver Mapa</v>
      </c>
    </row>
    <row r="2961" spans="1:12" ht="43.5" x14ac:dyDescent="0.35">
      <c r="A2961" s="5" t="s">
        <v>1497</v>
      </c>
      <c r="B2961" s="5" t="s">
        <v>1498</v>
      </c>
      <c r="C2961" s="5" t="s">
        <v>1501</v>
      </c>
      <c r="D2961" s="8" t="s">
        <v>65</v>
      </c>
      <c r="E2961" s="16" t="s">
        <v>75</v>
      </c>
      <c r="F2961" s="16" t="s">
        <v>86</v>
      </c>
      <c r="G2961" s="8" t="s">
        <v>103</v>
      </c>
      <c r="H2961" s="8" t="s">
        <v>125</v>
      </c>
      <c r="I2961" s="16" t="s">
        <v>138</v>
      </c>
      <c r="J2961" s="16">
        <v>17.062934462272001</v>
      </c>
      <c r="K2961" s="16">
        <v>-96.724290744301996</v>
      </c>
      <c r="L2961" s="16" t="str">
        <f>HYPERLINK("https://maps.google.com/?q=17.062934462272,-96.724290744302", "🔗 Ver Mapa")</f>
        <v>🔗 Ver Mapa</v>
      </c>
    </row>
    <row r="2962" spans="1:12" ht="58" x14ac:dyDescent="0.35">
      <c r="A2962" s="6" t="s">
        <v>1</v>
      </c>
      <c r="B2962" s="6" t="s">
        <v>14</v>
      </c>
      <c r="C2962" s="6" t="s">
        <v>1502</v>
      </c>
      <c r="D2962" s="11" t="s">
        <v>61</v>
      </c>
      <c r="E2962" s="17" t="s">
        <v>74</v>
      </c>
      <c r="F2962" s="17" t="s">
        <v>82</v>
      </c>
      <c r="G2962" s="11" t="s">
        <v>855</v>
      </c>
      <c r="H2962" s="11" t="s">
        <v>1503</v>
      </c>
      <c r="I2962" s="17" t="s">
        <v>138</v>
      </c>
      <c r="J2962" s="17">
        <v>16.227198999999999</v>
      </c>
      <c r="K2962" s="17">
        <v>-97.941007999999997</v>
      </c>
      <c r="L2962" s="17" t="str">
        <f>HYPERLINK("https://maps.google.com/?q=16.227199,-97.941008", "🔗 Ver Mapa")</f>
        <v>🔗 Ver Mapa</v>
      </c>
    </row>
    <row r="2963" spans="1:12" ht="43.5" x14ac:dyDescent="0.35">
      <c r="A2963" s="5" t="s">
        <v>1</v>
      </c>
      <c r="B2963" s="5" t="s">
        <v>14</v>
      </c>
      <c r="C2963" s="5" t="s">
        <v>1504</v>
      </c>
      <c r="D2963" s="8" t="s">
        <v>61</v>
      </c>
      <c r="E2963" s="16" t="s">
        <v>287</v>
      </c>
      <c r="F2963" s="16" t="s">
        <v>622</v>
      </c>
      <c r="G2963" s="8" t="s">
        <v>1317</v>
      </c>
      <c r="H2963" s="8" t="s">
        <v>1505</v>
      </c>
      <c r="I2963" s="16" t="s">
        <v>138</v>
      </c>
      <c r="J2963" s="16">
        <v>17.665589543473001</v>
      </c>
      <c r="K2963" s="16">
        <v>-95.876808186776998</v>
      </c>
      <c r="L2963" s="16" t="str">
        <f>HYPERLINK("https://maps.google.com/?q=17.665589543473,-95.876808186777", "🔗 Ver Mapa")</f>
        <v>🔗 Ver Mapa</v>
      </c>
    </row>
    <row r="2964" spans="1:12" ht="58" x14ac:dyDescent="0.35">
      <c r="A2964" s="6" t="s">
        <v>270</v>
      </c>
      <c r="B2964" s="6" t="s">
        <v>271</v>
      </c>
      <c r="C2964" s="6" t="s">
        <v>1506</v>
      </c>
      <c r="D2964" s="11" t="s">
        <v>273</v>
      </c>
      <c r="E2964" s="17" t="s">
        <v>164</v>
      </c>
      <c r="F2964" s="17" t="s">
        <v>165</v>
      </c>
      <c r="G2964" s="11" t="s">
        <v>1344</v>
      </c>
      <c r="H2964" s="11" t="s">
        <v>1507</v>
      </c>
      <c r="I2964" s="17" t="s">
        <v>138</v>
      </c>
      <c r="J2964" s="17">
        <v>17.765862885966001</v>
      </c>
      <c r="K2964" s="17">
        <v>-96.958016270433006</v>
      </c>
      <c r="L2964" s="17" t="str">
        <f>HYPERLINK("https://maps.google.com/?q=17.765862885966,-96.958016270433", "🔗 Ver Mapa")</f>
        <v>🔗 Ver Mapa</v>
      </c>
    </row>
    <row r="2965" spans="1:12" ht="58" x14ac:dyDescent="0.35">
      <c r="A2965" s="5" t="s">
        <v>270</v>
      </c>
      <c r="B2965" s="5" t="s">
        <v>271</v>
      </c>
      <c r="C2965" s="5" t="s">
        <v>1506</v>
      </c>
      <c r="D2965" s="8" t="s">
        <v>273</v>
      </c>
      <c r="E2965" s="16" t="s">
        <v>164</v>
      </c>
      <c r="F2965" s="16" t="s">
        <v>165</v>
      </c>
      <c r="G2965" s="8" t="s">
        <v>1344</v>
      </c>
      <c r="H2965" s="8" t="s">
        <v>1507</v>
      </c>
      <c r="I2965" s="16" t="s">
        <v>138</v>
      </c>
      <c r="J2965" s="16">
        <v>17.766081278321</v>
      </c>
      <c r="K2965" s="16">
        <v>-96.956191027198997</v>
      </c>
      <c r="L2965" s="16" t="str">
        <f>HYPERLINK("https://maps.google.com/?q=17.766081278321,-96.956191027199", "🔗 Ver Mapa")</f>
        <v>🔗 Ver Mapa</v>
      </c>
    </row>
    <row r="2966" spans="1:12" ht="58" x14ac:dyDescent="0.35">
      <c r="A2966" s="6" t="s">
        <v>270</v>
      </c>
      <c r="B2966" s="6" t="s">
        <v>271</v>
      </c>
      <c r="C2966" s="6" t="s">
        <v>1506</v>
      </c>
      <c r="D2966" s="11" t="s">
        <v>273</v>
      </c>
      <c r="E2966" s="17" t="s">
        <v>164</v>
      </c>
      <c r="F2966" s="17" t="s">
        <v>165</v>
      </c>
      <c r="G2966" s="11" t="s">
        <v>1344</v>
      </c>
      <c r="H2966" s="11" t="s">
        <v>1507</v>
      </c>
      <c r="I2966" s="17" t="s">
        <v>138</v>
      </c>
      <c r="J2966" s="17">
        <v>17.766414613506001</v>
      </c>
      <c r="K2966" s="17">
        <v>-96.957325601611998</v>
      </c>
      <c r="L2966" s="17" t="str">
        <f>HYPERLINK("https://maps.google.com/?q=17.766414613506,-96.957325601612", "🔗 Ver Mapa")</f>
        <v>🔗 Ver Mapa</v>
      </c>
    </row>
    <row r="2967" spans="1:12" ht="58" x14ac:dyDescent="0.35">
      <c r="A2967" s="5" t="s">
        <v>270</v>
      </c>
      <c r="B2967" s="5" t="s">
        <v>271</v>
      </c>
      <c r="C2967" s="5" t="s">
        <v>1506</v>
      </c>
      <c r="D2967" s="8" t="s">
        <v>273</v>
      </c>
      <c r="E2967" s="16" t="s">
        <v>164</v>
      </c>
      <c r="F2967" s="16" t="s">
        <v>165</v>
      </c>
      <c r="G2967" s="8" t="s">
        <v>1344</v>
      </c>
      <c r="H2967" s="8" t="s">
        <v>1507</v>
      </c>
      <c r="I2967" s="16" t="s">
        <v>138</v>
      </c>
      <c r="J2967" s="16">
        <v>17.766633005188002</v>
      </c>
      <c r="K2967" s="16">
        <v>-96.956651026044995</v>
      </c>
      <c r="L2967" s="16" t="str">
        <f>HYPERLINK("https://maps.google.com/?q=17.766633005188,-96.956651026045", "🔗 Ver Mapa")</f>
        <v>🔗 Ver Mapa</v>
      </c>
    </row>
    <row r="2968" spans="1:12" ht="58" x14ac:dyDescent="0.35">
      <c r="A2968" s="6" t="s">
        <v>270</v>
      </c>
      <c r="B2968" s="6" t="s">
        <v>271</v>
      </c>
      <c r="C2968" s="6" t="s">
        <v>1506</v>
      </c>
      <c r="D2968" s="11" t="s">
        <v>273</v>
      </c>
      <c r="E2968" s="17" t="s">
        <v>164</v>
      </c>
      <c r="F2968" s="17" t="s">
        <v>165</v>
      </c>
      <c r="G2968" s="11" t="s">
        <v>1344</v>
      </c>
      <c r="H2968" s="11" t="s">
        <v>1507</v>
      </c>
      <c r="I2968" s="17" t="s">
        <v>138</v>
      </c>
      <c r="J2968" s="17">
        <v>17.766902887754</v>
      </c>
      <c r="K2968" s="17">
        <v>-96.959034480762995</v>
      </c>
      <c r="L2968" s="17" t="str">
        <f>HYPERLINK("https://maps.google.com/?q=17.766902887754,-96.959034480763", "🔗 Ver Mapa")</f>
        <v>🔗 Ver Mapa</v>
      </c>
    </row>
    <row r="2969" spans="1:12" ht="43.5" x14ac:dyDescent="0.35">
      <c r="A2969" s="5" t="s">
        <v>270</v>
      </c>
      <c r="B2969" s="5" t="s">
        <v>271</v>
      </c>
      <c r="C2969" s="5" t="s">
        <v>1508</v>
      </c>
      <c r="D2969" s="8" t="s">
        <v>273</v>
      </c>
      <c r="E2969" s="16" t="s">
        <v>164</v>
      </c>
      <c r="F2969" s="16" t="s">
        <v>165</v>
      </c>
      <c r="G2969" s="8" t="s">
        <v>1344</v>
      </c>
      <c r="H2969" s="8" t="s">
        <v>1509</v>
      </c>
      <c r="I2969" s="16" t="s">
        <v>138</v>
      </c>
      <c r="J2969" s="16">
        <v>17.712131505418999</v>
      </c>
      <c r="K2969" s="16">
        <v>-96.937624243887001</v>
      </c>
      <c r="L2969" s="16" t="str">
        <f>HYPERLINK("https://maps.google.com/?q=17.712131505419,-96.937624243887", "🔗 Ver Mapa")</f>
        <v>🔗 Ver Mapa</v>
      </c>
    </row>
    <row r="2970" spans="1:12" ht="43.5" x14ac:dyDescent="0.35">
      <c r="A2970" s="6" t="s">
        <v>270</v>
      </c>
      <c r="B2970" s="6" t="s">
        <v>271</v>
      </c>
      <c r="C2970" s="6" t="s">
        <v>1508</v>
      </c>
      <c r="D2970" s="11" t="s">
        <v>273</v>
      </c>
      <c r="E2970" s="17" t="s">
        <v>164</v>
      </c>
      <c r="F2970" s="17" t="s">
        <v>165</v>
      </c>
      <c r="G2970" s="11" t="s">
        <v>1344</v>
      </c>
      <c r="H2970" s="11" t="s">
        <v>1509</v>
      </c>
      <c r="I2970" s="17" t="s">
        <v>138</v>
      </c>
      <c r="J2970" s="17">
        <v>17.712461108435999</v>
      </c>
      <c r="K2970" s="17">
        <v>-96.936594670085</v>
      </c>
      <c r="L2970" s="17" t="str">
        <f>HYPERLINK("https://maps.google.com/?q=17.712461108436,-96.936594670085", "🔗 Ver Mapa")</f>
        <v>🔗 Ver Mapa</v>
      </c>
    </row>
    <row r="2971" spans="1:12" ht="43.5" x14ac:dyDescent="0.35">
      <c r="A2971" s="5" t="s">
        <v>270</v>
      </c>
      <c r="B2971" s="5" t="s">
        <v>271</v>
      </c>
      <c r="C2971" s="5" t="s">
        <v>1508</v>
      </c>
      <c r="D2971" s="8" t="s">
        <v>273</v>
      </c>
      <c r="E2971" s="16" t="s">
        <v>164</v>
      </c>
      <c r="F2971" s="16" t="s">
        <v>165</v>
      </c>
      <c r="G2971" s="8" t="s">
        <v>1344</v>
      </c>
      <c r="H2971" s="8" t="s">
        <v>1509</v>
      </c>
      <c r="I2971" s="16" t="s">
        <v>138</v>
      </c>
      <c r="J2971" s="16">
        <v>17.716584588063</v>
      </c>
      <c r="K2971" s="16">
        <v>-96.939474859984998</v>
      </c>
      <c r="L2971" s="16" t="str">
        <f>HYPERLINK("https://maps.google.com/?q=17.716584588063,-96.939474859985", "🔗 Ver Mapa")</f>
        <v>🔗 Ver Mapa</v>
      </c>
    </row>
    <row r="2972" spans="1:12" ht="43.5" x14ac:dyDescent="0.35">
      <c r="A2972" s="6" t="s">
        <v>270</v>
      </c>
      <c r="B2972" s="6" t="s">
        <v>271</v>
      </c>
      <c r="C2972" s="6" t="s">
        <v>1508</v>
      </c>
      <c r="D2972" s="11" t="s">
        <v>273</v>
      </c>
      <c r="E2972" s="17" t="s">
        <v>164</v>
      </c>
      <c r="F2972" s="17" t="s">
        <v>165</v>
      </c>
      <c r="G2972" s="11" t="s">
        <v>1344</v>
      </c>
      <c r="H2972" s="11" t="s">
        <v>1509</v>
      </c>
      <c r="I2972" s="17" t="s">
        <v>138</v>
      </c>
      <c r="J2972" s="17">
        <v>17.717024686455002</v>
      </c>
      <c r="K2972" s="17">
        <v>-96.939224655988994</v>
      </c>
      <c r="L2972" s="17" t="str">
        <f>HYPERLINK("https://maps.google.com/?q=17.717024686455,-96.939224655989", "🔗 Ver Mapa")</f>
        <v>🔗 Ver Mapa</v>
      </c>
    </row>
    <row r="2973" spans="1:12" ht="43.5" x14ac:dyDescent="0.35">
      <c r="A2973" s="5" t="s">
        <v>270</v>
      </c>
      <c r="B2973" s="5" t="s">
        <v>271</v>
      </c>
      <c r="C2973" s="5" t="s">
        <v>1508</v>
      </c>
      <c r="D2973" s="8" t="s">
        <v>273</v>
      </c>
      <c r="E2973" s="16" t="s">
        <v>164</v>
      </c>
      <c r="F2973" s="16" t="s">
        <v>165</v>
      </c>
      <c r="G2973" s="8" t="s">
        <v>1344</v>
      </c>
      <c r="H2973" s="8" t="s">
        <v>1509</v>
      </c>
      <c r="I2973" s="16" t="s">
        <v>138</v>
      </c>
      <c r="J2973" s="16">
        <v>17.717618309843999</v>
      </c>
      <c r="K2973" s="16">
        <v>-96.939003565934996</v>
      </c>
      <c r="L2973" s="16" t="str">
        <f>HYPERLINK("https://maps.google.com/?q=17.717618309844,-96.939003565935", "🔗 Ver Mapa")</f>
        <v>🔗 Ver Mapa</v>
      </c>
    </row>
    <row r="2974" spans="1:12" ht="58" x14ac:dyDescent="0.35">
      <c r="A2974" s="6" t="s">
        <v>270</v>
      </c>
      <c r="B2974" s="6" t="s">
        <v>271</v>
      </c>
      <c r="C2974" s="6" t="s">
        <v>1510</v>
      </c>
      <c r="D2974" s="11" t="s">
        <v>273</v>
      </c>
      <c r="E2974" s="17" t="s">
        <v>164</v>
      </c>
      <c r="F2974" s="17" t="s">
        <v>165</v>
      </c>
      <c r="G2974" s="11" t="s">
        <v>1344</v>
      </c>
      <c r="H2974" s="11" t="s">
        <v>1511</v>
      </c>
      <c r="I2974" s="17" t="s">
        <v>138</v>
      </c>
      <c r="J2974" s="17">
        <v>17.647770590360999</v>
      </c>
      <c r="K2974" s="17">
        <v>-96.914617891614995</v>
      </c>
      <c r="L2974" s="17" t="str">
        <f>HYPERLINK("https://maps.google.com/?q=17.647770590361,-96.914617891615", "🔗 Ver Mapa")</f>
        <v>🔗 Ver Mapa</v>
      </c>
    </row>
    <row r="2975" spans="1:12" ht="58" x14ac:dyDescent="0.35">
      <c r="A2975" s="5" t="s">
        <v>270</v>
      </c>
      <c r="B2975" s="5" t="s">
        <v>271</v>
      </c>
      <c r="C2975" s="5" t="s">
        <v>1510</v>
      </c>
      <c r="D2975" s="8" t="s">
        <v>273</v>
      </c>
      <c r="E2975" s="16" t="s">
        <v>164</v>
      </c>
      <c r="F2975" s="16" t="s">
        <v>165</v>
      </c>
      <c r="G2975" s="8" t="s">
        <v>1344</v>
      </c>
      <c r="H2975" s="8" t="s">
        <v>1511</v>
      </c>
      <c r="I2975" s="16" t="s">
        <v>138</v>
      </c>
      <c r="J2975" s="16">
        <v>17.648152708893999</v>
      </c>
      <c r="K2975" s="16">
        <v>-96.914959873263996</v>
      </c>
      <c r="L2975" s="16" t="str">
        <f>HYPERLINK("https://maps.google.com/?q=17.648152708894,-96.914959873264", "🔗 Ver Mapa")</f>
        <v>🔗 Ver Mapa</v>
      </c>
    </row>
    <row r="2976" spans="1:12" ht="58" x14ac:dyDescent="0.35">
      <c r="A2976" s="6" t="s">
        <v>270</v>
      </c>
      <c r="B2976" s="6" t="s">
        <v>271</v>
      </c>
      <c r="C2976" s="6" t="s">
        <v>1510</v>
      </c>
      <c r="D2976" s="11" t="s">
        <v>273</v>
      </c>
      <c r="E2976" s="17" t="s">
        <v>164</v>
      </c>
      <c r="F2976" s="17" t="s">
        <v>165</v>
      </c>
      <c r="G2976" s="11" t="s">
        <v>1344</v>
      </c>
      <c r="H2976" s="11" t="s">
        <v>1511</v>
      </c>
      <c r="I2976" s="17" t="s">
        <v>138</v>
      </c>
      <c r="J2976" s="17">
        <v>17.648366132604998</v>
      </c>
      <c r="K2976" s="17">
        <v>-96.914891476934002</v>
      </c>
      <c r="L2976" s="17" t="str">
        <f>HYPERLINK("https://maps.google.com/?q=17.648366132605,-96.914891476934", "🔗 Ver Mapa")</f>
        <v>🔗 Ver Mapa</v>
      </c>
    </row>
    <row r="2977" spans="1:12" ht="58" x14ac:dyDescent="0.35">
      <c r="A2977" s="5" t="s">
        <v>270</v>
      </c>
      <c r="B2977" s="5" t="s">
        <v>271</v>
      </c>
      <c r="C2977" s="5" t="s">
        <v>1510</v>
      </c>
      <c r="D2977" s="8" t="s">
        <v>273</v>
      </c>
      <c r="E2977" s="16" t="s">
        <v>164</v>
      </c>
      <c r="F2977" s="16" t="s">
        <v>165</v>
      </c>
      <c r="G2977" s="8" t="s">
        <v>1344</v>
      </c>
      <c r="H2977" s="8" t="s">
        <v>1511</v>
      </c>
      <c r="I2977" s="16" t="s">
        <v>138</v>
      </c>
      <c r="J2977" s="16">
        <v>17.649373182390999</v>
      </c>
      <c r="K2977" s="16">
        <v>-96.915737713878002</v>
      </c>
      <c r="L2977" s="16" t="str">
        <f>HYPERLINK("https://maps.google.com/?q=17.649373182391,-96.915737713878", "🔗 Ver Mapa")</f>
        <v>🔗 Ver Mapa</v>
      </c>
    </row>
    <row r="2978" spans="1:12" ht="58" x14ac:dyDescent="0.35">
      <c r="A2978" s="6" t="s">
        <v>270</v>
      </c>
      <c r="B2978" s="6" t="s">
        <v>271</v>
      </c>
      <c r="C2978" s="6" t="s">
        <v>1510</v>
      </c>
      <c r="D2978" s="11" t="s">
        <v>273</v>
      </c>
      <c r="E2978" s="17" t="s">
        <v>164</v>
      </c>
      <c r="F2978" s="17" t="s">
        <v>165</v>
      </c>
      <c r="G2978" s="11" t="s">
        <v>1344</v>
      </c>
      <c r="H2978" s="11" t="s">
        <v>1511</v>
      </c>
      <c r="I2978" s="17" t="s">
        <v>138</v>
      </c>
      <c r="J2978" s="17">
        <v>17.650040285873999</v>
      </c>
      <c r="K2978" s="17">
        <v>-96.917021617998003</v>
      </c>
      <c r="L2978" s="17" t="str">
        <f>HYPERLINK("https://maps.google.com/?q=17.650040285874,-96.917021617998", "🔗 Ver Mapa")</f>
        <v>🔗 Ver Mapa</v>
      </c>
    </row>
    <row r="2979" spans="1:12" ht="58" x14ac:dyDescent="0.35">
      <c r="A2979" s="5" t="s">
        <v>270</v>
      </c>
      <c r="B2979" s="5" t="s">
        <v>271</v>
      </c>
      <c r="C2979" s="5" t="s">
        <v>1510</v>
      </c>
      <c r="D2979" s="8" t="s">
        <v>273</v>
      </c>
      <c r="E2979" s="16" t="s">
        <v>164</v>
      </c>
      <c r="F2979" s="16" t="s">
        <v>165</v>
      </c>
      <c r="G2979" s="8" t="s">
        <v>1344</v>
      </c>
      <c r="H2979" s="8" t="s">
        <v>1511</v>
      </c>
      <c r="I2979" s="16" t="s">
        <v>138</v>
      </c>
      <c r="J2979" s="16">
        <v>17.650381504517</v>
      </c>
      <c r="K2979" s="16">
        <v>-96.917276427855001</v>
      </c>
      <c r="L2979" s="16" t="str">
        <f>HYPERLINK("https://maps.google.com/?q=17.650381504517,-96.917276427855", "🔗 Ver Mapa")</f>
        <v>🔗 Ver Mapa</v>
      </c>
    </row>
    <row r="2980" spans="1:12" ht="58" x14ac:dyDescent="0.35">
      <c r="A2980" s="6" t="s">
        <v>270</v>
      </c>
      <c r="B2980" s="6" t="s">
        <v>271</v>
      </c>
      <c r="C2980" s="6" t="s">
        <v>1512</v>
      </c>
      <c r="D2980" s="11" t="s">
        <v>273</v>
      </c>
      <c r="E2980" s="17" t="s">
        <v>164</v>
      </c>
      <c r="F2980" s="17" t="s">
        <v>165</v>
      </c>
      <c r="G2980" s="11" t="s">
        <v>1344</v>
      </c>
      <c r="H2980" s="11" t="s">
        <v>1513</v>
      </c>
      <c r="I2980" s="17" t="s">
        <v>138</v>
      </c>
      <c r="J2980" s="17">
        <v>17.840036179321</v>
      </c>
      <c r="K2980" s="17">
        <v>-97.014211626632004</v>
      </c>
      <c r="L2980" s="17" t="str">
        <f>HYPERLINK("https://maps.google.com/?q=17.840036179321,-97.014211626632", "🔗 Ver Mapa")</f>
        <v>🔗 Ver Mapa</v>
      </c>
    </row>
    <row r="2981" spans="1:12" ht="58" x14ac:dyDescent="0.35">
      <c r="A2981" s="5" t="s">
        <v>270</v>
      </c>
      <c r="B2981" s="5" t="s">
        <v>271</v>
      </c>
      <c r="C2981" s="5" t="s">
        <v>1512</v>
      </c>
      <c r="D2981" s="8" t="s">
        <v>273</v>
      </c>
      <c r="E2981" s="16" t="s">
        <v>164</v>
      </c>
      <c r="F2981" s="16" t="s">
        <v>165</v>
      </c>
      <c r="G2981" s="8" t="s">
        <v>1344</v>
      </c>
      <c r="H2981" s="8" t="s">
        <v>1513</v>
      </c>
      <c r="I2981" s="16" t="s">
        <v>138</v>
      </c>
      <c r="J2981" s="16">
        <v>17.840098124994</v>
      </c>
      <c r="K2981" s="16">
        <v>-97.013422125991994</v>
      </c>
      <c r="L2981" s="16" t="str">
        <f>HYPERLINK("https://maps.google.com/?q=17.840098124994,-97.013422125992", "🔗 Ver Mapa")</f>
        <v>🔗 Ver Mapa</v>
      </c>
    </row>
    <row r="2982" spans="1:12" ht="58" x14ac:dyDescent="0.35">
      <c r="A2982" s="6" t="s">
        <v>270</v>
      </c>
      <c r="B2982" s="6" t="s">
        <v>271</v>
      </c>
      <c r="C2982" s="6" t="s">
        <v>1512</v>
      </c>
      <c r="D2982" s="11" t="s">
        <v>273</v>
      </c>
      <c r="E2982" s="17" t="s">
        <v>164</v>
      </c>
      <c r="F2982" s="17" t="s">
        <v>165</v>
      </c>
      <c r="G2982" s="11" t="s">
        <v>1344</v>
      </c>
      <c r="H2982" s="11" t="s">
        <v>1513</v>
      </c>
      <c r="I2982" s="17" t="s">
        <v>138</v>
      </c>
      <c r="J2982" s="17">
        <v>17.840503420983001</v>
      </c>
      <c r="K2982" s="17">
        <v>-97.014863403421998</v>
      </c>
      <c r="L2982" s="17" t="str">
        <f>HYPERLINK("https://maps.google.com/?q=17.840503420983,-97.014863403422", "🔗 Ver Mapa")</f>
        <v>🔗 Ver Mapa</v>
      </c>
    </row>
    <row r="2983" spans="1:12" ht="58" x14ac:dyDescent="0.35">
      <c r="A2983" s="5" t="s">
        <v>270</v>
      </c>
      <c r="B2983" s="5" t="s">
        <v>271</v>
      </c>
      <c r="C2983" s="5" t="s">
        <v>1512</v>
      </c>
      <c r="D2983" s="8" t="s">
        <v>273</v>
      </c>
      <c r="E2983" s="16" t="s">
        <v>164</v>
      </c>
      <c r="F2983" s="16" t="s">
        <v>165</v>
      </c>
      <c r="G2983" s="8" t="s">
        <v>1344</v>
      </c>
      <c r="H2983" s="8" t="s">
        <v>1513</v>
      </c>
      <c r="I2983" s="16" t="s">
        <v>138</v>
      </c>
      <c r="J2983" s="16">
        <v>17.842891951359999</v>
      </c>
      <c r="K2983" s="16">
        <v>-97.013801921314993</v>
      </c>
      <c r="L2983" s="16" t="str">
        <f>HYPERLINK("https://maps.google.com/?q=17.84289195136,-97.013801921315", "🔗 Ver Mapa")</f>
        <v>🔗 Ver Mapa</v>
      </c>
    </row>
    <row r="2984" spans="1:12" ht="58" x14ac:dyDescent="0.35">
      <c r="A2984" s="6" t="s">
        <v>270</v>
      </c>
      <c r="B2984" s="6" t="s">
        <v>271</v>
      </c>
      <c r="C2984" s="6" t="s">
        <v>1512</v>
      </c>
      <c r="D2984" s="11" t="s">
        <v>273</v>
      </c>
      <c r="E2984" s="17" t="s">
        <v>164</v>
      </c>
      <c r="F2984" s="17" t="s">
        <v>165</v>
      </c>
      <c r="G2984" s="11" t="s">
        <v>1344</v>
      </c>
      <c r="H2984" s="11" t="s">
        <v>1513</v>
      </c>
      <c r="I2984" s="17" t="s">
        <v>138</v>
      </c>
      <c r="J2984" s="17">
        <v>17.843709610346</v>
      </c>
      <c r="K2984" s="17">
        <v>-97.015159789628001</v>
      </c>
      <c r="L2984" s="17" t="str">
        <f>HYPERLINK("https://maps.google.com/?q=17.843709610346,-97.015159789628", "🔗 Ver Mapa")</f>
        <v>🔗 Ver Mapa</v>
      </c>
    </row>
    <row r="2985" spans="1:12" ht="58" x14ac:dyDescent="0.35">
      <c r="A2985" s="5" t="s">
        <v>270</v>
      </c>
      <c r="B2985" s="5" t="s">
        <v>271</v>
      </c>
      <c r="C2985" s="5" t="s">
        <v>1512</v>
      </c>
      <c r="D2985" s="8" t="s">
        <v>273</v>
      </c>
      <c r="E2985" s="16" t="s">
        <v>164</v>
      </c>
      <c r="F2985" s="16" t="s">
        <v>165</v>
      </c>
      <c r="G2985" s="8" t="s">
        <v>1344</v>
      </c>
      <c r="H2985" s="8" t="s">
        <v>1513</v>
      </c>
      <c r="I2985" s="16" t="s">
        <v>138</v>
      </c>
      <c r="J2985" s="16">
        <v>17.843749824435001</v>
      </c>
      <c r="K2985" s="16">
        <v>-97.015204715314994</v>
      </c>
      <c r="L2985" s="16" t="str">
        <f>HYPERLINK("https://maps.google.com/?q=17.843749824435,-97.015204715315", "🔗 Ver Mapa")</f>
        <v>🔗 Ver Mapa</v>
      </c>
    </row>
    <row r="2986" spans="1:12" ht="58" x14ac:dyDescent="0.35">
      <c r="A2986" s="6" t="s">
        <v>270</v>
      </c>
      <c r="B2986" s="6" t="s">
        <v>271</v>
      </c>
      <c r="C2986" s="6" t="s">
        <v>1514</v>
      </c>
      <c r="D2986" s="11" t="s">
        <v>273</v>
      </c>
      <c r="E2986" s="17" t="s">
        <v>164</v>
      </c>
      <c r="F2986" s="17" t="s">
        <v>165</v>
      </c>
      <c r="G2986" s="11" t="s">
        <v>1344</v>
      </c>
      <c r="H2986" s="11" t="s">
        <v>1345</v>
      </c>
      <c r="I2986" s="17" t="s">
        <v>138</v>
      </c>
      <c r="J2986" s="17">
        <v>17.792269879424001</v>
      </c>
      <c r="K2986" s="17">
        <v>-96.952008420013996</v>
      </c>
      <c r="L2986" s="17" t="str">
        <f>HYPERLINK("https://maps.google.com/?q=17.792269879424,-96.952008420014", "🔗 Ver Mapa")</f>
        <v>🔗 Ver Mapa</v>
      </c>
    </row>
    <row r="2987" spans="1:12" ht="58" x14ac:dyDescent="0.35">
      <c r="A2987" s="5" t="s">
        <v>270</v>
      </c>
      <c r="B2987" s="5" t="s">
        <v>271</v>
      </c>
      <c r="C2987" s="5" t="s">
        <v>1514</v>
      </c>
      <c r="D2987" s="8" t="s">
        <v>273</v>
      </c>
      <c r="E2987" s="16" t="s">
        <v>164</v>
      </c>
      <c r="F2987" s="16" t="s">
        <v>165</v>
      </c>
      <c r="G2987" s="8" t="s">
        <v>1344</v>
      </c>
      <c r="H2987" s="8" t="s">
        <v>1345</v>
      </c>
      <c r="I2987" s="16" t="s">
        <v>138</v>
      </c>
      <c r="J2987" s="16">
        <v>17.792580818992001</v>
      </c>
      <c r="K2987" s="16">
        <v>-96.953102354524006</v>
      </c>
      <c r="L2987" s="16" t="str">
        <f>HYPERLINK("https://maps.google.com/?q=17.792580818992,-96.953102354524", "🔗 Ver Mapa")</f>
        <v>🔗 Ver Mapa</v>
      </c>
    </row>
    <row r="2988" spans="1:12" ht="58" x14ac:dyDescent="0.35">
      <c r="A2988" s="6" t="s">
        <v>270</v>
      </c>
      <c r="B2988" s="6" t="s">
        <v>271</v>
      </c>
      <c r="C2988" s="6" t="s">
        <v>1514</v>
      </c>
      <c r="D2988" s="11" t="s">
        <v>273</v>
      </c>
      <c r="E2988" s="17" t="s">
        <v>164</v>
      </c>
      <c r="F2988" s="17" t="s">
        <v>165</v>
      </c>
      <c r="G2988" s="11" t="s">
        <v>1344</v>
      </c>
      <c r="H2988" s="11" t="s">
        <v>1345</v>
      </c>
      <c r="I2988" s="17" t="s">
        <v>138</v>
      </c>
      <c r="J2988" s="17">
        <v>17.796036047977001</v>
      </c>
      <c r="K2988" s="17">
        <v>-96.954122445753995</v>
      </c>
      <c r="L2988" s="17" t="str">
        <f>HYPERLINK("https://maps.google.com/?q=17.796036047977,-96.954122445754", "🔗 Ver Mapa")</f>
        <v>🔗 Ver Mapa</v>
      </c>
    </row>
    <row r="2989" spans="1:12" ht="58" x14ac:dyDescent="0.35">
      <c r="A2989" s="5" t="s">
        <v>270</v>
      </c>
      <c r="B2989" s="5" t="s">
        <v>271</v>
      </c>
      <c r="C2989" s="5" t="s">
        <v>1514</v>
      </c>
      <c r="D2989" s="8" t="s">
        <v>273</v>
      </c>
      <c r="E2989" s="16" t="s">
        <v>164</v>
      </c>
      <c r="F2989" s="16" t="s">
        <v>165</v>
      </c>
      <c r="G2989" s="8" t="s">
        <v>1344</v>
      </c>
      <c r="H2989" s="8" t="s">
        <v>1345</v>
      </c>
      <c r="I2989" s="16" t="s">
        <v>138</v>
      </c>
      <c r="J2989" s="16">
        <v>17.799269214013002</v>
      </c>
      <c r="K2989" s="16">
        <v>-96.961810997897004</v>
      </c>
      <c r="L2989" s="16" t="str">
        <f>HYPERLINK("https://maps.google.com/?q=17.799269214013,-96.961810997897", "🔗 Ver Mapa")</f>
        <v>🔗 Ver Mapa</v>
      </c>
    </row>
    <row r="2990" spans="1:12" ht="58" x14ac:dyDescent="0.35">
      <c r="A2990" s="6" t="s">
        <v>270</v>
      </c>
      <c r="B2990" s="6" t="s">
        <v>271</v>
      </c>
      <c r="C2990" s="6" t="s">
        <v>1514</v>
      </c>
      <c r="D2990" s="11" t="s">
        <v>273</v>
      </c>
      <c r="E2990" s="17" t="s">
        <v>164</v>
      </c>
      <c r="F2990" s="17" t="s">
        <v>165</v>
      </c>
      <c r="G2990" s="11" t="s">
        <v>1344</v>
      </c>
      <c r="H2990" s="11" t="s">
        <v>1345</v>
      </c>
      <c r="I2990" s="17" t="s">
        <v>138</v>
      </c>
      <c r="J2990" s="17">
        <v>17.799725721649001</v>
      </c>
      <c r="K2990" s="17">
        <v>-96.962770376193006</v>
      </c>
      <c r="L2990" s="17" t="str">
        <f>HYPERLINK("https://maps.google.com/?q=17.799725721649,-96.962770376193", "🔗 Ver Mapa")</f>
        <v>🔗 Ver Mapa</v>
      </c>
    </row>
    <row r="2991" spans="1:12" ht="58" x14ac:dyDescent="0.35">
      <c r="A2991" s="5" t="s">
        <v>270</v>
      </c>
      <c r="B2991" s="5" t="s">
        <v>271</v>
      </c>
      <c r="C2991" s="5" t="s">
        <v>1514</v>
      </c>
      <c r="D2991" s="8" t="s">
        <v>273</v>
      </c>
      <c r="E2991" s="16" t="s">
        <v>164</v>
      </c>
      <c r="F2991" s="16" t="s">
        <v>165</v>
      </c>
      <c r="G2991" s="8" t="s">
        <v>1344</v>
      </c>
      <c r="H2991" s="8" t="s">
        <v>1345</v>
      </c>
      <c r="I2991" s="16" t="s">
        <v>138</v>
      </c>
      <c r="J2991" s="16">
        <v>17.800127946896001</v>
      </c>
      <c r="K2991" s="16">
        <v>-96.962703320968004</v>
      </c>
      <c r="L2991" s="16" t="str">
        <f>HYPERLINK("https://maps.google.com/?q=17.800127946896,-96.962703320968", "🔗 Ver Mapa")</f>
        <v>🔗 Ver Mapa</v>
      </c>
    </row>
    <row r="2992" spans="1:12" ht="58" x14ac:dyDescent="0.35">
      <c r="A2992" s="6" t="s">
        <v>270</v>
      </c>
      <c r="B2992" s="6" t="s">
        <v>271</v>
      </c>
      <c r="C2992" s="6" t="s">
        <v>1514</v>
      </c>
      <c r="D2992" s="11" t="s">
        <v>273</v>
      </c>
      <c r="E2992" s="17" t="s">
        <v>164</v>
      </c>
      <c r="F2992" s="17" t="s">
        <v>165</v>
      </c>
      <c r="G2992" s="11" t="s">
        <v>1344</v>
      </c>
      <c r="H2992" s="11" t="s">
        <v>1345</v>
      </c>
      <c r="I2992" s="17" t="s">
        <v>138</v>
      </c>
      <c r="J2992" s="17">
        <v>17.800239037518001</v>
      </c>
      <c r="K2992" s="17">
        <v>-96.962410960184997</v>
      </c>
      <c r="L2992" s="17" t="str">
        <f>HYPERLINK("https://maps.google.com/?q=17.800239037518,-96.962410960185", "🔗 Ver Mapa")</f>
        <v>🔗 Ver Mapa</v>
      </c>
    </row>
    <row r="2993" spans="1:12" ht="58" x14ac:dyDescent="0.35">
      <c r="A2993" s="5" t="s">
        <v>270</v>
      </c>
      <c r="B2993" s="5" t="s">
        <v>271</v>
      </c>
      <c r="C2993" s="5" t="s">
        <v>1514</v>
      </c>
      <c r="D2993" s="8" t="s">
        <v>273</v>
      </c>
      <c r="E2993" s="16" t="s">
        <v>164</v>
      </c>
      <c r="F2993" s="16" t="s">
        <v>165</v>
      </c>
      <c r="G2993" s="8" t="s">
        <v>1344</v>
      </c>
      <c r="H2993" s="8" t="s">
        <v>1345</v>
      </c>
      <c r="I2993" s="16" t="s">
        <v>138</v>
      </c>
      <c r="J2993" s="16">
        <v>17.804229498967999</v>
      </c>
      <c r="K2993" s="16">
        <v>-96.959558736765999</v>
      </c>
      <c r="L2993" s="16" t="str">
        <f>HYPERLINK("https://maps.google.com/?q=17.804229498968,-96.959558736766", "🔗 Ver Mapa")</f>
        <v>🔗 Ver Mapa</v>
      </c>
    </row>
    <row r="2994" spans="1:12" ht="43.5" x14ac:dyDescent="0.35">
      <c r="A2994" s="6" t="s">
        <v>291</v>
      </c>
      <c r="B2994" s="6" t="s">
        <v>292</v>
      </c>
      <c r="C2994" s="6" t="s">
        <v>1515</v>
      </c>
      <c r="D2994" s="11" t="s">
        <v>294</v>
      </c>
      <c r="E2994" s="17" t="s">
        <v>75</v>
      </c>
      <c r="F2994" s="17" t="s">
        <v>86</v>
      </c>
      <c r="G2994" s="11" t="s">
        <v>557</v>
      </c>
      <c r="H2994" s="11" t="s">
        <v>558</v>
      </c>
      <c r="I2994" s="17" t="s">
        <v>296</v>
      </c>
      <c r="J2994" s="17">
        <v>17.060410351000002</v>
      </c>
      <c r="K2994" s="17">
        <v>-96.705449204999994</v>
      </c>
      <c r="L2994" s="17" t="str">
        <f>HYPERLINK("https://maps.google.com/?q=17.060410351,-96.705449205", "🔗 Ver Mapa")</f>
        <v>🔗 Ver Mapa</v>
      </c>
    </row>
    <row r="2995" spans="1:12" ht="43.5" x14ac:dyDescent="0.35">
      <c r="A2995" s="5" t="s">
        <v>291</v>
      </c>
      <c r="B2995" s="5" t="s">
        <v>292</v>
      </c>
      <c r="C2995" s="5" t="s">
        <v>1515</v>
      </c>
      <c r="D2995" s="8" t="s">
        <v>294</v>
      </c>
      <c r="E2995" s="16" t="s">
        <v>75</v>
      </c>
      <c r="F2995" s="16" t="s">
        <v>86</v>
      </c>
      <c r="G2995" s="8" t="s">
        <v>557</v>
      </c>
      <c r="H2995" s="8" t="s">
        <v>558</v>
      </c>
      <c r="I2995" s="16" t="s">
        <v>296</v>
      </c>
      <c r="J2995" s="16">
        <v>17.060410351000002</v>
      </c>
      <c r="K2995" s="16">
        <v>-96.705449205199997</v>
      </c>
      <c r="L2995" s="16" t="str">
        <f>HYPERLINK("https://maps.google.com/?q=17.060410351,-96.7054492052", "🔗 Ver Mapa")</f>
        <v>🔗 Ver Mapa</v>
      </c>
    </row>
    <row r="2996" spans="1:12" ht="43.5" x14ac:dyDescent="0.35">
      <c r="A2996" s="6" t="s">
        <v>291</v>
      </c>
      <c r="B2996" s="6" t="s">
        <v>292</v>
      </c>
      <c r="C2996" s="6" t="s">
        <v>1515</v>
      </c>
      <c r="D2996" s="11" t="s">
        <v>294</v>
      </c>
      <c r="E2996" s="17" t="s">
        <v>75</v>
      </c>
      <c r="F2996" s="17" t="s">
        <v>86</v>
      </c>
      <c r="G2996" s="11" t="s">
        <v>557</v>
      </c>
      <c r="H2996" s="11" t="s">
        <v>558</v>
      </c>
      <c r="I2996" s="17" t="s">
        <v>296</v>
      </c>
      <c r="J2996" s="17">
        <v>17.06041064219</v>
      </c>
      <c r="K2996" s="17">
        <v>-96.705465250399996</v>
      </c>
      <c r="L2996" s="17" t="str">
        <f>HYPERLINK("https://maps.google.com/?q=17.06041064219,-96.7054652504", "🔗 Ver Mapa")</f>
        <v>🔗 Ver Mapa</v>
      </c>
    </row>
    <row r="2997" spans="1:12" ht="43.5" x14ac:dyDescent="0.35">
      <c r="A2997" s="5" t="s">
        <v>291</v>
      </c>
      <c r="B2997" s="5" t="s">
        <v>292</v>
      </c>
      <c r="C2997" s="5" t="s">
        <v>1515</v>
      </c>
      <c r="D2997" s="8" t="s">
        <v>294</v>
      </c>
      <c r="E2997" s="16" t="s">
        <v>75</v>
      </c>
      <c r="F2997" s="16" t="s">
        <v>86</v>
      </c>
      <c r="G2997" s="8" t="s">
        <v>557</v>
      </c>
      <c r="H2997" s="8" t="s">
        <v>558</v>
      </c>
      <c r="I2997" s="16" t="s">
        <v>296</v>
      </c>
      <c r="J2997" s="16">
        <v>17.060470594400002</v>
      </c>
      <c r="K2997" s="16">
        <v>-96.705490839000007</v>
      </c>
      <c r="L2997" s="16" t="str">
        <f>HYPERLINK("https://maps.google.com/?q=17.0604705944,-96.705490839", "🔗 Ver Mapa")</f>
        <v>🔗 Ver Mapa</v>
      </c>
    </row>
    <row r="2998" spans="1:12" ht="43.5" x14ac:dyDescent="0.35">
      <c r="A2998" s="6" t="s">
        <v>291</v>
      </c>
      <c r="B2998" s="6" t="s">
        <v>292</v>
      </c>
      <c r="C2998" s="6" t="s">
        <v>1515</v>
      </c>
      <c r="D2998" s="11" t="s">
        <v>294</v>
      </c>
      <c r="E2998" s="17" t="s">
        <v>75</v>
      </c>
      <c r="F2998" s="17" t="s">
        <v>86</v>
      </c>
      <c r="G2998" s="11" t="s">
        <v>557</v>
      </c>
      <c r="H2998" s="11" t="s">
        <v>558</v>
      </c>
      <c r="I2998" s="17" t="s">
        <v>296</v>
      </c>
      <c r="J2998" s="17">
        <v>17.060473464600001</v>
      </c>
      <c r="K2998" s="17">
        <v>-96.705514200699994</v>
      </c>
      <c r="L2998" s="17" t="str">
        <f>HYPERLINK("https://maps.google.com/?q=17.0604734646,-96.7055142007", "🔗 Ver Mapa")</f>
        <v>🔗 Ver Mapa</v>
      </c>
    </row>
    <row r="2999" spans="1:12" ht="43.5" x14ac:dyDescent="0.35">
      <c r="A2999" s="5" t="s">
        <v>291</v>
      </c>
      <c r="B2999" s="5" t="s">
        <v>292</v>
      </c>
      <c r="C2999" s="5" t="s">
        <v>1515</v>
      </c>
      <c r="D2999" s="8" t="s">
        <v>294</v>
      </c>
      <c r="E2999" s="16" t="s">
        <v>75</v>
      </c>
      <c r="F2999" s="16" t="s">
        <v>86</v>
      </c>
      <c r="G2999" s="8" t="s">
        <v>557</v>
      </c>
      <c r="H2999" s="8" t="s">
        <v>558</v>
      </c>
      <c r="I2999" s="16" t="s">
        <v>296</v>
      </c>
      <c r="J2999" s="16">
        <v>17.060692701800001</v>
      </c>
      <c r="K2999" s="16">
        <v>-96.705665074999999</v>
      </c>
      <c r="L2999" s="16" t="str">
        <f>HYPERLINK("https://maps.google.com/?q=17.0606927018,-96.705665075", "🔗 Ver Mapa")</f>
        <v>🔗 Ver Mapa</v>
      </c>
    </row>
    <row r="3000" spans="1:12" ht="43.5" x14ac:dyDescent="0.35">
      <c r="A3000" s="6" t="s">
        <v>291</v>
      </c>
      <c r="B3000" s="6" t="s">
        <v>292</v>
      </c>
      <c r="C3000" s="6" t="s">
        <v>1515</v>
      </c>
      <c r="D3000" s="11" t="s">
        <v>294</v>
      </c>
      <c r="E3000" s="17" t="s">
        <v>75</v>
      </c>
      <c r="F3000" s="17" t="s">
        <v>86</v>
      </c>
      <c r="G3000" s="11" t="s">
        <v>557</v>
      </c>
      <c r="H3000" s="11" t="s">
        <v>558</v>
      </c>
      <c r="I3000" s="17" t="s">
        <v>296</v>
      </c>
      <c r="J3000" s="17">
        <v>17.060791757000001</v>
      </c>
      <c r="K3000" s="17">
        <v>-96.705724860000004</v>
      </c>
      <c r="L3000" s="17" t="str">
        <f>HYPERLINK("https://maps.google.com/?q=17.060791757,-96.70572486", "🔗 Ver Mapa")</f>
        <v>🔗 Ver Mapa</v>
      </c>
    </row>
    <row r="3001" spans="1:12" ht="43.5" x14ac:dyDescent="0.35">
      <c r="A3001" s="5" t="s">
        <v>291</v>
      </c>
      <c r="B3001" s="5" t="s">
        <v>292</v>
      </c>
      <c r="C3001" s="5" t="s">
        <v>1515</v>
      </c>
      <c r="D3001" s="8" t="s">
        <v>294</v>
      </c>
      <c r="E3001" s="16" t="s">
        <v>75</v>
      </c>
      <c r="F3001" s="16" t="s">
        <v>86</v>
      </c>
      <c r="G3001" s="8" t="s">
        <v>557</v>
      </c>
      <c r="H3001" s="8" t="s">
        <v>558</v>
      </c>
      <c r="I3001" s="16" t="s">
        <v>296</v>
      </c>
      <c r="J3001" s="16">
        <v>17.060908733600002</v>
      </c>
      <c r="K3001" s="16">
        <v>-96.705822654800002</v>
      </c>
      <c r="L3001" s="16" t="str">
        <f>HYPERLINK("https://maps.google.com/?q=17.0609087336,-96.7058226548", "🔗 Ver Mapa")</f>
        <v>🔗 Ver Mapa</v>
      </c>
    </row>
    <row r="3002" spans="1:12" ht="43.5" x14ac:dyDescent="0.35">
      <c r="A3002" s="6" t="s">
        <v>291</v>
      </c>
      <c r="B3002" s="6" t="s">
        <v>292</v>
      </c>
      <c r="C3002" s="6" t="s">
        <v>1515</v>
      </c>
      <c r="D3002" s="11" t="s">
        <v>294</v>
      </c>
      <c r="E3002" s="17" t="s">
        <v>75</v>
      </c>
      <c r="F3002" s="17" t="s">
        <v>86</v>
      </c>
      <c r="G3002" s="11" t="s">
        <v>557</v>
      </c>
      <c r="H3002" s="11" t="s">
        <v>558</v>
      </c>
      <c r="I3002" s="17" t="s">
        <v>296</v>
      </c>
      <c r="J3002" s="17">
        <v>17.061233101420001</v>
      </c>
      <c r="K3002" s="17">
        <v>-96.706074782399995</v>
      </c>
      <c r="L3002" s="17" t="str">
        <f>HYPERLINK("https://maps.google.com/?q=17.06123310142,-96.7060747824", "🔗 Ver Mapa")</f>
        <v>🔗 Ver Mapa</v>
      </c>
    </row>
    <row r="3003" spans="1:12" ht="43.5" x14ac:dyDescent="0.35">
      <c r="A3003" s="5" t="s">
        <v>291</v>
      </c>
      <c r="B3003" s="5" t="s">
        <v>292</v>
      </c>
      <c r="C3003" s="5" t="s">
        <v>1515</v>
      </c>
      <c r="D3003" s="8" t="s">
        <v>294</v>
      </c>
      <c r="E3003" s="16" t="s">
        <v>75</v>
      </c>
      <c r="F3003" s="16" t="s">
        <v>86</v>
      </c>
      <c r="G3003" s="8" t="s">
        <v>557</v>
      </c>
      <c r="H3003" s="8" t="s">
        <v>558</v>
      </c>
      <c r="I3003" s="16" t="s">
        <v>296</v>
      </c>
      <c r="J3003" s="16">
        <v>17.0614042596</v>
      </c>
      <c r="K3003" s="16">
        <v>-96.706214927800005</v>
      </c>
      <c r="L3003" s="16" t="str">
        <f>HYPERLINK("https://maps.google.com/?q=17.0614042596,-96.7062149278", "🔗 Ver Mapa")</f>
        <v>🔗 Ver Mapa</v>
      </c>
    </row>
    <row r="3004" spans="1:12" ht="43.5" x14ac:dyDescent="0.35">
      <c r="A3004" s="6" t="s">
        <v>291</v>
      </c>
      <c r="B3004" s="6" t="s">
        <v>292</v>
      </c>
      <c r="C3004" s="6" t="s">
        <v>1515</v>
      </c>
      <c r="D3004" s="11" t="s">
        <v>294</v>
      </c>
      <c r="E3004" s="17" t="s">
        <v>75</v>
      </c>
      <c r="F3004" s="17" t="s">
        <v>86</v>
      </c>
      <c r="G3004" s="11" t="s">
        <v>557</v>
      </c>
      <c r="H3004" s="11" t="s">
        <v>558</v>
      </c>
      <c r="I3004" s="17" t="s">
        <v>296</v>
      </c>
      <c r="J3004" s="17">
        <v>17.061417415499999</v>
      </c>
      <c r="K3004" s="17">
        <v>-96.706215705999995</v>
      </c>
      <c r="L3004" s="17" t="str">
        <f>HYPERLINK("https://maps.google.com/?q=17.0614174155,-96.706215706", "🔗 Ver Mapa")</f>
        <v>🔗 Ver Mapa</v>
      </c>
    </row>
    <row r="3005" spans="1:12" ht="58" x14ac:dyDescent="0.35">
      <c r="A3005" s="5" t="s">
        <v>270</v>
      </c>
      <c r="B3005" s="5" t="s">
        <v>271</v>
      </c>
      <c r="C3005" s="5" t="s">
        <v>1516</v>
      </c>
      <c r="D3005" s="8" t="s">
        <v>273</v>
      </c>
      <c r="E3005" s="16" t="s">
        <v>73</v>
      </c>
      <c r="F3005" s="16" t="s">
        <v>249</v>
      </c>
      <c r="G3005" s="8" t="s">
        <v>440</v>
      </c>
      <c r="H3005" s="8" t="s">
        <v>1517</v>
      </c>
      <c r="I3005" s="16" t="s">
        <v>138</v>
      </c>
      <c r="J3005" s="16">
        <v>17.554505920735</v>
      </c>
      <c r="K3005" s="16">
        <v>-97.812054670552001</v>
      </c>
      <c r="L3005" s="16" t="str">
        <f>HYPERLINK("https://maps.google.com/?q=17.554505920735,-97.812054670552", "🔗 Ver Mapa")</f>
        <v>🔗 Ver Mapa</v>
      </c>
    </row>
    <row r="3006" spans="1:12" ht="58" x14ac:dyDescent="0.35">
      <c r="A3006" s="6" t="s">
        <v>270</v>
      </c>
      <c r="B3006" s="6" t="s">
        <v>271</v>
      </c>
      <c r="C3006" s="6" t="s">
        <v>1516</v>
      </c>
      <c r="D3006" s="11" t="s">
        <v>273</v>
      </c>
      <c r="E3006" s="17" t="s">
        <v>73</v>
      </c>
      <c r="F3006" s="17" t="s">
        <v>249</v>
      </c>
      <c r="G3006" s="11" t="s">
        <v>440</v>
      </c>
      <c r="H3006" s="11" t="s">
        <v>1517</v>
      </c>
      <c r="I3006" s="17" t="s">
        <v>138</v>
      </c>
      <c r="J3006" s="17">
        <v>17.555005067789999</v>
      </c>
      <c r="K3006" s="17">
        <v>-97.812269799096995</v>
      </c>
      <c r="L3006" s="17" t="str">
        <f>HYPERLINK("https://maps.google.com/?q=17.55500506779,-97.812269799097", "🔗 Ver Mapa")</f>
        <v>🔗 Ver Mapa</v>
      </c>
    </row>
    <row r="3007" spans="1:12" ht="58" x14ac:dyDescent="0.35">
      <c r="A3007" s="5" t="s">
        <v>270</v>
      </c>
      <c r="B3007" s="5" t="s">
        <v>271</v>
      </c>
      <c r="C3007" s="5" t="s">
        <v>1516</v>
      </c>
      <c r="D3007" s="8" t="s">
        <v>273</v>
      </c>
      <c r="E3007" s="16" t="s">
        <v>73</v>
      </c>
      <c r="F3007" s="16" t="s">
        <v>249</v>
      </c>
      <c r="G3007" s="8" t="s">
        <v>440</v>
      </c>
      <c r="H3007" s="8" t="s">
        <v>1517</v>
      </c>
      <c r="I3007" s="16" t="s">
        <v>138</v>
      </c>
      <c r="J3007" s="16">
        <v>17.556561981971001</v>
      </c>
      <c r="K3007" s="16">
        <v>-97.812220465409993</v>
      </c>
      <c r="L3007" s="16" t="str">
        <f>HYPERLINK("https://maps.google.com/?q=17.556561981971,-97.81222046541", "🔗 Ver Mapa")</f>
        <v>🔗 Ver Mapa</v>
      </c>
    </row>
    <row r="3008" spans="1:12" ht="58" x14ac:dyDescent="0.35">
      <c r="A3008" s="6" t="s">
        <v>270</v>
      </c>
      <c r="B3008" s="6" t="s">
        <v>271</v>
      </c>
      <c r="C3008" s="6" t="s">
        <v>1516</v>
      </c>
      <c r="D3008" s="11" t="s">
        <v>273</v>
      </c>
      <c r="E3008" s="17" t="s">
        <v>73</v>
      </c>
      <c r="F3008" s="17" t="s">
        <v>249</v>
      </c>
      <c r="G3008" s="11" t="s">
        <v>440</v>
      </c>
      <c r="H3008" s="11" t="s">
        <v>1517</v>
      </c>
      <c r="I3008" s="17" t="s">
        <v>138</v>
      </c>
      <c r="J3008" s="17">
        <v>17.556791520000001</v>
      </c>
      <c r="K3008" s="17">
        <v>-97.812247020000001</v>
      </c>
      <c r="L3008" s="17" t="str">
        <f>HYPERLINK("https://maps.google.com/?q=17.55679152,-97.81224702", "🔗 Ver Mapa")</f>
        <v>🔗 Ver Mapa</v>
      </c>
    </row>
    <row r="3009" spans="1:12" ht="58" x14ac:dyDescent="0.35">
      <c r="A3009" s="5" t="s">
        <v>270</v>
      </c>
      <c r="B3009" s="5" t="s">
        <v>271</v>
      </c>
      <c r="C3009" s="5" t="s">
        <v>1516</v>
      </c>
      <c r="D3009" s="8" t="s">
        <v>273</v>
      </c>
      <c r="E3009" s="16" t="s">
        <v>73</v>
      </c>
      <c r="F3009" s="16" t="s">
        <v>249</v>
      </c>
      <c r="G3009" s="8" t="s">
        <v>440</v>
      </c>
      <c r="H3009" s="8" t="s">
        <v>1517</v>
      </c>
      <c r="I3009" s="16" t="s">
        <v>138</v>
      </c>
      <c r="J3009" s="16">
        <v>17.556955247211</v>
      </c>
      <c r="K3009" s="16">
        <v>-97.813583915343997</v>
      </c>
      <c r="L3009" s="16" t="str">
        <f>HYPERLINK("https://maps.google.com/?q=17.556955247211,-97.813583915344", "🔗 Ver Mapa")</f>
        <v>🔗 Ver Mapa</v>
      </c>
    </row>
    <row r="3010" spans="1:12" ht="58" x14ac:dyDescent="0.35">
      <c r="A3010" s="6" t="s">
        <v>270</v>
      </c>
      <c r="B3010" s="6" t="s">
        <v>271</v>
      </c>
      <c r="C3010" s="6" t="s">
        <v>1516</v>
      </c>
      <c r="D3010" s="11" t="s">
        <v>273</v>
      </c>
      <c r="E3010" s="17" t="s">
        <v>73</v>
      </c>
      <c r="F3010" s="17" t="s">
        <v>249</v>
      </c>
      <c r="G3010" s="11" t="s">
        <v>440</v>
      </c>
      <c r="H3010" s="11" t="s">
        <v>1517</v>
      </c>
      <c r="I3010" s="17" t="s">
        <v>138</v>
      </c>
      <c r="J3010" s="17">
        <v>17.556997888007999</v>
      </c>
      <c r="K3010" s="17">
        <v>-97.812124980321997</v>
      </c>
      <c r="L3010" s="17" t="str">
        <f>HYPERLINK("https://maps.google.com/?q=17.556997888008,-97.812124980322", "🔗 Ver Mapa")</f>
        <v>🔗 Ver Mapa</v>
      </c>
    </row>
    <row r="3011" spans="1:12" ht="43.5" x14ac:dyDescent="0.35">
      <c r="A3011" s="5" t="s">
        <v>270</v>
      </c>
      <c r="B3011" s="5" t="s">
        <v>271</v>
      </c>
      <c r="C3011" s="5" t="s">
        <v>1518</v>
      </c>
      <c r="D3011" s="8" t="s">
        <v>273</v>
      </c>
      <c r="E3011" s="16" t="s">
        <v>74</v>
      </c>
      <c r="F3011" s="16" t="s">
        <v>89</v>
      </c>
      <c r="G3011" s="8" t="s">
        <v>1519</v>
      </c>
      <c r="H3011" s="8" t="s">
        <v>1520</v>
      </c>
      <c r="I3011" s="16" t="s">
        <v>138</v>
      </c>
      <c r="J3011" s="16">
        <v>15.958026130385999</v>
      </c>
      <c r="K3011" s="16">
        <v>-96.768610137400003</v>
      </c>
      <c r="L3011" s="16" t="str">
        <f>HYPERLINK("https://maps.google.com/?q=15.958026130386,-96.7686101374", "🔗 Ver Mapa")</f>
        <v>🔗 Ver Mapa</v>
      </c>
    </row>
    <row r="3012" spans="1:12" ht="43.5" x14ac:dyDescent="0.35">
      <c r="A3012" s="6" t="s">
        <v>270</v>
      </c>
      <c r="B3012" s="6" t="s">
        <v>271</v>
      </c>
      <c r="C3012" s="6" t="s">
        <v>1518</v>
      </c>
      <c r="D3012" s="11" t="s">
        <v>273</v>
      </c>
      <c r="E3012" s="17" t="s">
        <v>74</v>
      </c>
      <c r="F3012" s="17" t="s">
        <v>89</v>
      </c>
      <c r="G3012" s="11" t="s">
        <v>1519</v>
      </c>
      <c r="H3012" s="11" t="s">
        <v>1520</v>
      </c>
      <c r="I3012" s="17" t="s">
        <v>138</v>
      </c>
      <c r="J3012" s="17">
        <v>15.958341431644</v>
      </c>
      <c r="K3012" s="17">
        <v>-96.770002493392994</v>
      </c>
      <c r="L3012" s="17" t="str">
        <f>HYPERLINK("https://maps.google.com/?q=15.958341431644,-96.770002493393", "🔗 Ver Mapa")</f>
        <v>🔗 Ver Mapa</v>
      </c>
    </row>
    <row r="3013" spans="1:12" ht="43.5" x14ac:dyDescent="0.35">
      <c r="A3013" s="5" t="s">
        <v>270</v>
      </c>
      <c r="B3013" s="5" t="s">
        <v>271</v>
      </c>
      <c r="C3013" s="5" t="s">
        <v>1518</v>
      </c>
      <c r="D3013" s="8" t="s">
        <v>273</v>
      </c>
      <c r="E3013" s="16" t="s">
        <v>74</v>
      </c>
      <c r="F3013" s="16" t="s">
        <v>89</v>
      </c>
      <c r="G3013" s="8" t="s">
        <v>1519</v>
      </c>
      <c r="H3013" s="8" t="s">
        <v>1520</v>
      </c>
      <c r="I3013" s="16" t="s">
        <v>138</v>
      </c>
      <c r="J3013" s="16">
        <v>15.958416932494</v>
      </c>
      <c r="K3013" s="16">
        <v>-96.770009573798006</v>
      </c>
      <c r="L3013" s="16" t="str">
        <f>HYPERLINK("https://maps.google.com/?q=15.958416932494,-96.770009573798", "🔗 Ver Mapa")</f>
        <v>🔗 Ver Mapa</v>
      </c>
    </row>
    <row r="3014" spans="1:12" ht="43.5" x14ac:dyDescent="0.35">
      <c r="A3014" s="6" t="s">
        <v>270</v>
      </c>
      <c r="B3014" s="6" t="s">
        <v>271</v>
      </c>
      <c r="C3014" s="6" t="s">
        <v>1518</v>
      </c>
      <c r="D3014" s="11" t="s">
        <v>273</v>
      </c>
      <c r="E3014" s="17" t="s">
        <v>74</v>
      </c>
      <c r="F3014" s="17" t="s">
        <v>89</v>
      </c>
      <c r="G3014" s="11" t="s">
        <v>1519</v>
      </c>
      <c r="H3014" s="11" t="s">
        <v>1520</v>
      </c>
      <c r="I3014" s="17" t="s">
        <v>138</v>
      </c>
      <c r="J3014" s="17">
        <v>15.95862108599</v>
      </c>
      <c r="K3014" s="17">
        <v>-96.769944519568995</v>
      </c>
      <c r="L3014" s="17" t="str">
        <f>HYPERLINK("https://maps.google.com/?q=15.95862108599,-96.769944519569", "🔗 Ver Mapa")</f>
        <v>🔗 Ver Mapa</v>
      </c>
    </row>
    <row r="3015" spans="1:12" ht="43.5" x14ac:dyDescent="0.35">
      <c r="A3015" s="5" t="s">
        <v>270</v>
      </c>
      <c r="B3015" s="5" t="s">
        <v>271</v>
      </c>
      <c r="C3015" s="5" t="s">
        <v>1518</v>
      </c>
      <c r="D3015" s="8" t="s">
        <v>273</v>
      </c>
      <c r="E3015" s="16" t="s">
        <v>74</v>
      </c>
      <c r="F3015" s="16" t="s">
        <v>89</v>
      </c>
      <c r="G3015" s="8" t="s">
        <v>1519</v>
      </c>
      <c r="H3015" s="8" t="s">
        <v>1520</v>
      </c>
      <c r="I3015" s="16" t="s">
        <v>138</v>
      </c>
      <c r="J3015" s="16">
        <v>15.958792639494</v>
      </c>
      <c r="K3015" s="16">
        <v>-96.768908233613999</v>
      </c>
      <c r="L3015" s="16" t="str">
        <f>HYPERLINK("https://maps.google.com/?q=15.958792639494,-96.768908233614", "🔗 Ver Mapa")</f>
        <v>🔗 Ver Mapa</v>
      </c>
    </row>
    <row r="3016" spans="1:12" ht="43.5" x14ac:dyDescent="0.35">
      <c r="A3016" s="6" t="s">
        <v>270</v>
      </c>
      <c r="B3016" s="6" t="s">
        <v>271</v>
      </c>
      <c r="C3016" s="6" t="s">
        <v>1518</v>
      </c>
      <c r="D3016" s="11" t="s">
        <v>273</v>
      </c>
      <c r="E3016" s="17" t="s">
        <v>74</v>
      </c>
      <c r="F3016" s="17" t="s">
        <v>89</v>
      </c>
      <c r="G3016" s="11" t="s">
        <v>1519</v>
      </c>
      <c r="H3016" s="11" t="s">
        <v>1520</v>
      </c>
      <c r="I3016" s="17" t="s">
        <v>138</v>
      </c>
      <c r="J3016" s="17">
        <v>15.958940411455</v>
      </c>
      <c r="K3016" s="17">
        <v>-96.769836735750999</v>
      </c>
      <c r="L3016" s="17" t="str">
        <f>HYPERLINK("https://maps.google.com/?q=15.958940411455,-96.769836735751", "🔗 Ver Mapa")</f>
        <v>🔗 Ver Mapa</v>
      </c>
    </row>
    <row r="3017" spans="1:12" ht="43.5" x14ac:dyDescent="0.35">
      <c r="A3017" s="5" t="s">
        <v>270</v>
      </c>
      <c r="B3017" s="5" t="s">
        <v>271</v>
      </c>
      <c r="C3017" s="5" t="s">
        <v>1518</v>
      </c>
      <c r="D3017" s="8" t="s">
        <v>273</v>
      </c>
      <c r="E3017" s="16" t="s">
        <v>74</v>
      </c>
      <c r="F3017" s="16" t="s">
        <v>89</v>
      </c>
      <c r="G3017" s="8" t="s">
        <v>1519</v>
      </c>
      <c r="H3017" s="8" t="s">
        <v>1520</v>
      </c>
      <c r="I3017" s="16" t="s">
        <v>138</v>
      </c>
      <c r="J3017" s="16">
        <v>15.958945354659001</v>
      </c>
      <c r="K3017" s="16">
        <v>-96.769742159559001</v>
      </c>
      <c r="L3017" s="16" t="str">
        <f>HYPERLINK("https://maps.google.com/?q=15.958945354659,-96.769742159559", "🔗 Ver Mapa")</f>
        <v>🔗 Ver Mapa</v>
      </c>
    </row>
    <row r="3018" spans="1:12" ht="43.5" x14ac:dyDescent="0.35">
      <c r="A3018" s="6" t="s">
        <v>270</v>
      </c>
      <c r="B3018" s="6" t="s">
        <v>271</v>
      </c>
      <c r="C3018" s="6" t="s">
        <v>1518</v>
      </c>
      <c r="D3018" s="11" t="s">
        <v>273</v>
      </c>
      <c r="E3018" s="17" t="s">
        <v>74</v>
      </c>
      <c r="F3018" s="17" t="s">
        <v>89</v>
      </c>
      <c r="G3018" s="11" t="s">
        <v>1519</v>
      </c>
      <c r="H3018" s="11" t="s">
        <v>1520</v>
      </c>
      <c r="I3018" s="17" t="s">
        <v>138</v>
      </c>
      <c r="J3018" s="17">
        <v>15.959035799609</v>
      </c>
      <c r="K3018" s="17">
        <v>-96.769517754630996</v>
      </c>
      <c r="L3018" s="17" t="str">
        <f>HYPERLINK("https://maps.google.com/?q=15.959035799609,-96.769517754631", "🔗 Ver Mapa")</f>
        <v>🔗 Ver Mapa</v>
      </c>
    </row>
    <row r="3019" spans="1:12" ht="43.5" x14ac:dyDescent="0.35">
      <c r="A3019" s="5" t="s">
        <v>270</v>
      </c>
      <c r="B3019" s="5" t="s">
        <v>271</v>
      </c>
      <c r="C3019" s="5" t="s">
        <v>1518</v>
      </c>
      <c r="D3019" s="8" t="s">
        <v>273</v>
      </c>
      <c r="E3019" s="16" t="s">
        <v>74</v>
      </c>
      <c r="F3019" s="16" t="s">
        <v>89</v>
      </c>
      <c r="G3019" s="8" t="s">
        <v>1519</v>
      </c>
      <c r="H3019" s="8" t="s">
        <v>1520</v>
      </c>
      <c r="I3019" s="16" t="s">
        <v>138</v>
      </c>
      <c r="J3019" s="16">
        <v>15.959061420752001</v>
      </c>
      <c r="K3019" s="16">
        <v>-96.769733921766999</v>
      </c>
      <c r="L3019" s="16" t="str">
        <f>HYPERLINK("https://maps.google.com/?q=15.959061420752,-96.769733921767", "🔗 Ver Mapa")</f>
        <v>🔗 Ver Mapa</v>
      </c>
    </row>
    <row r="3020" spans="1:12" ht="43.5" x14ac:dyDescent="0.35">
      <c r="A3020" s="6" t="s">
        <v>270</v>
      </c>
      <c r="B3020" s="6" t="s">
        <v>271</v>
      </c>
      <c r="C3020" s="6" t="s">
        <v>1518</v>
      </c>
      <c r="D3020" s="11" t="s">
        <v>273</v>
      </c>
      <c r="E3020" s="17" t="s">
        <v>74</v>
      </c>
      <c r="F3020" s="17" t="s">
        <v>89</v>
      </c>
      <c r="G3020" s="11" t="s">
        <v>1519</v>
      </c>
      <c r="H3020" s="11" t="s">
        <v>1520</v>
      </c>
      <c r="I3020" s="17" t="s">
        <v>138</v>
      </c>
      <c r="J3020" s="17">
        <v>15.959117056787001</v>
      </c>
      <c r="K3020" s="17">
        <v>-96.769232262952002</v>
      </c>
      <c r="L3020" s="17" t="str">
        <f>HYPERLINK("https://maps.google.com/?q=15.959117056787,-96.769232262952", "🔗 Ver Mapa")</f>
        <v>🔗 Ver Mapa</v>
      </c>
    </row>
    <row r="3021" spans="1:12" ht="43.5" x14ac:dyDescent="0.35">
      <c r="A3021" s="5" t="s">
        <v>270</v>
      </c>
      <c r="B3021" s="5" t="s">
        <v>271</v>
      </c>
      <c r="C3021" s="5" t="s">
        <v>1521</v>
      </c>
      <c r="D3021" s="8" t="s">
        <v>273</v>
      </c>
      <c r="E3021" s="16" t="s">
        <v>73</v>
      </c>
      <c r="F3021" s="16" t="s">
        <v>585</v>
      </c>
      <c r="G3021" s="8" t="s">
        <v>586</v>
      </c>
      <c r="H3021" s="8" t="s">
        <v>1522</v>
      </c>
      <c r="I3021" s="16" t="s">
        <v>138</v>
      </c>
      <c r="J3021" s="16">
        <v>17.288165866661</v>
      </c>
      <c r="K3021" s="16">
        <v>-98.014746036133999</v>
      </c>
      <c r="L3021" s="16" t="str">
        <f>HYPERLINK("https://maps.google.com/?q=17.288165866661,-98.014746036134", "🔗 Ver Mapa")</f>
        <v>🔗 Ver Mapa</v>
      </c>
    </row>
    <row r="3022" spans="1:12" ht="43.5" x14ac:dyDescent="0.35">
      <c r="A3022" s="6" t="s">
        <v>270</v>
      </c>
      <c r="B3022" s="6" t="s">
        <v>271</v>
      </c>
      <c r="C3022" s="6" t="s">
        <v>1521</v>
      </c>
      <c r="D3022" s="11" t="s">
        <v>273</v>
      </c>
      <c r="E3022" s="17" t="s">
        <v>73</v>
      </c>
      <c r="F3022" s="17" t="s">
        <v>585</v>
      </c>
      <c r="G3022" s="11" t="s">
        <v>586</v>
      </c>
      <c r="H3022" s="11" t="s">
        <v>1522</v>
      </c>
      <c r="I3022" s="17" t="s">
        <v>138</v>
      </c>
      <c r="J3022" s="17">
        <v>17.288262260425</v>
      </c>
      <c r="K3022" s="17">
        <v>-98.015207049292002</v>
      </c>
      <c r="L3022" s="17" t="str">
        <f>HYPERLINK("https://maps.google.com/?q=17.288262260425,-98.015207049292", "🔗 Ver Mapa")</f>
        <v>🔗 Ver Mapa</v>
      </c>
    </row>
    <row r="3023" spans="1:12" ht="43.5" x14ac:dyDescent="0.35">
      <c r="A3023" s="5" t="s">
        <v>270</v>
      </c>
      <c r="B3023" s="5" t="s">
        <v>271</v>
      </c>
      <c r="C3023" s="5" t="s">
        <v>1521</v>
      </c>
      <c r="D3023" s="8" t="s">
        <v>273</v>
      </c>
      <c r="E3023" s="16" t="s">
        <v>73</v>
      </c>
      <c r="F3023" s="16" t="s">
        <v>585</v>
      </c>
      <c r="G3023" s="8" t="s">
        <v>586</v>
      </c>
      <c r="H3023" s="8" t="s">
        <v>1522</v>
      </c>
      <c r="I3023" s="16" t="s">
        <v>138</v>
      </c>
      <c r="J3023" s="16">
        <v>17.288417202758001</v>
      </c>
      <c r="K3023" s="16">
        <v>-98.014869090955997</v>
      </c>
      <c r="L3023" s="16" t="str">
        <f>HYPERLINK("https://maps.google.com/?q=17.288417202758,-98.014869090956", "🔗 Ver Mapa")</f>
        <v>🔗 Ver Mapa</v>
      </c>
    </row>
    <row r="3024" spans="1:12" ht="43.5" x14ac:dyDescent="0.35">
      <c r="A3024" s="6" t="s">
        <v>270</v>
      </c>
      <c r="B3024" s="6" t="s">
        <v>271</v>
      </c>
      <c r="C3024" s="6" t="s">
        <v>1521</v>
      </c>
      <c r="D3024" s="11" t="s">
        <v>273</v>
      </c>
      <c r="E3024" s="17" t="s">
        <v>73</v>
      </c>
      <c r="F3024" s="17" t="s">
        <v>585</v>
      </c>
      <c r="G3024" s="11" t="s">
        <v>586</v>
      </c>
      <c r="H3024" s="11" t="s">
        <v>1522</v>
      </c>
      <c r="I3024" s="17" t="s">
        <v>138</v>
      </c>
      <c r="J3024" s="17">
        <v>17.290261949009</v>
      </c>
      <c r="K3024" s="17">
        <v>-98.011640948587001</v>
      </c>
      <c r="L3024" s="17" t="str">
        <f>HYPERLINK("https://maps.google.com/?q=17.290261949009,-98.011640948587", "🔗 Ver Mapa")</f>
        <v>🔗 Ver Mapa</v>
      </c>
    </row>
    <row r="3025" spans="1:12" ht="43.5" x14ac:dyDescent="0.35">
      <c r="A3025" s="5" t="s">
        <v>270</v>
      </c>
      <c r="B3025" s="5" t="s">
        <v>271</v>
      </c>
      <c r="C3025" s="5" t="s">
        <v>1521</v>
      </c>
      <c r="D3025" s="8" t="s">
        <v>273</v>
      </c>
      <c r="E3025" s="16" t="s">
        <v>73</v>
      </c>
      <c r="F3025" s="16" t="s">
        <v>585</v>
      </c>
      <c r="G3025" s="8" t="s">
        <v>586</v>
      </c>
      <c r="H3025" s="8" t="s">
        <v>1522</v>
      </c>
      <c r="I3025" s="16" t="s">
        <v>138</v>
      </c>
      <c r="J3025" s="16">
        <v>17.291035465783001</v>
      </c>
      <c r="K3025" s="16">
        <v>-98.011505628064</v>
      </c>
      <c r="L3025" s="16" t="str">
        <f>HYPERLINK("https://maps.google.com/?q=17.291035465783,-98.011505628064", "🔗 Ver Mapa")</f>
        <v>🔗 Ver Mapa</v>
      </c>
    </row>
    <row r="3026" spans="1:12" ht="43.5" x14ac:dyDescent="0.35">
      <c r="A3026" s="6" t="s">
        <v>270</v>
      </c>
      <c r="B3026" s="6" t="s">
        <v>271</v>
      </c>
      <c r="C3026" s="6" t="s">
        <v>1523</v>
      </c>
      <c r="D3026" s="11" t="s">
        <v>273</v>
      </c>
      <c r="E3026" s="17" t="s">
        <v>287</v>
      </c>
      <c r="F3026" s="17" t="s">
        <v>288</v>
      </c>
      <c r="G3026" s="11" t="s">
        <v>634</v>
      </c>
      <c r="H3026" s="11" t="s">
        <v>1524</v>
      </c>
      <c r="I3026" s="17" t="s">
        <v>138</v>
      </c>
      <c r="J3026" s="17">
        <v>17.962116074827001</v>
      </c>
      <c r="K3026" s="17">
        <v>-96.128025085754004</v>
      </c>
      <c r="L3026" s="17" t="str">
        <f>HYPERLINK("https://maps.google.com/?q=17.962116074827,-96.128025085754", "🔗 Ver Mapa")</f>
        <v>🔗 Ver Mapa</v>
      </c>
    </row>
    <row r="3027" spans="1:12" ht="43.5" x14ac:dyDescent="0.35">
      <c r="A3027" s="5" t="s">
        <v>270</v>
      </c>
      <c r="B3027" s="5" t="s">
        <v>271</v>
      </c>
      <c r="C3027" s="5" t="s">
        <v>1523</v>
      </c>
      <c r="D3027" s="8" t="s">
        <v>273</v>
      </c>
      <c r="E3027" s="16" t="s">
        <v>287</v>
      </c>
      <c r="F3027" s="16" t="s">
        <v>288</v>
      </c>
      <c r="G3027" s="8" t="s">
        <v>634</v>
      </c>
      <c r="H3027" s="8" t="s">
        <v>1524</v>
      </c>
      <c r="I3027" s="16" t="s">
        <v>138</v>
      </c>
      <c r="J3027" s="16">
        <v>17.962143434552999</v>
      </c>
      <c r="K3027" s="16">
        <v>-96.128141761847004</v>
      </c>
      <c r="L3027" s="16" t="str">
        <f>HYPERLINK("https://maps.google.com/?q=17.962143434553,-96.128141761847", "🔗 Ver Mapa")</f>
        <v>🔗 Ver Mapa</v>
      </c>
    </row>
    <row r="3028" spans="1:12" ht="43.5" x14ac:dyDescent="0.35">
      <c r="A3028" s="6" t="s">
        <v>270</v>
      </c>
      <c r="B3028" s="6" t="s">
        <v>271</v>
      </c>
      <c r="C3028" s="6" t="s">
        <v>1523</v>
      </c>
      <c r="D3028" s="11" t="s">
        <v>273</v>
      </c>
      <c r="E3028" s="17" t="s">
        <v>287</v>
      </c>
      <c r="F3028" s="17" t="s">
        <v>288</v>
      </c>
      <c r="G3028" s="11" t="s">
        <v>634</v>
      </c>
      <c r="H3028" s="11" t="s">
        <v>1524</v>
      </c>
      <c r="I3028" s="17" t="s">
        <v>138</v>
      </c>
      <c r="J3028" s="17">
        <v>17.962285748153999</v>
      </c>
      <c r="K3028" s="17">
        <v>-96.128041179009003</v>
      </c>
      <c r="L3028" s="17" t="str">
        <f>HYPERLINK("https://maps.google.com/?q=17.962285748154,-96.128041179009", "🔗 Ver Mapa")</f>
        <v>🔗 Ver Mapa</v>
      </c>
    </row>
    <row r="3029" spans="1:12" ht="43.5" x14ac:dyDescent="0.35">
      <c r="A3029" s="5" t="s">
        <v>270</v>
      </c>
      <c r="B3029" s="5" t="s">
        <v>271</v>
      </c>
      <c r="C3029" s="5" t="s">
        <v>1523</v>
      </c>
      <c r="D3029" s="8" t="s">
        <v>273</v>
      </c>
      <c r="E3029" s="16" t="s">
        <v>287</v>
      </c>
      <c r="F3029" s="16" t="s">
        <v>288</v>
      </c>
      <c r="G3029" s="8" t="s">
        <v>634</v>
      </c>
      <c r="H3029" s="8" t="s">
        <v>1524</v>
      </c>
      <c r="I3029" s="16" t="s">
        <v>138</v>
      </c>
      <c r="J3029" s="16">
        <v>17.962935105490001</v>
      </c>
      <c r="K3029" s="16">
        <v>-96.127340456015006</v>
      </c>
      <c r="L3029" s="16" t="str">
        <f>HYPERLINK("https://maps.google.com/?q=17.96293510549,-96.127340456015", "🔗 Ver Mapa")</f>
        <v>🔗 Ver Mapa</v>
      </c>
    </row>
    <row r="3030" spans="1:12" ht="43.5" x14ac:dyDescent="0.35">
      <c r="A3030" s="6" t="s">
        <v>270</v>
      </c>
      <c r="B3030" s="6" t="s">
        <v>271</v>
      </c>
      <c r="C3030" s="6" t="s">
        <v>1523</v>
      </c>
      <c r="D3030" s="11" t="s">
        <v>273</v>
      </c>
      <c r="E3030" s="17" t="s">
        <v>287</v>
      </c>
      <c r="F3030" s="17" t="s">
        <v>288</v>
      </c>
      <c r="G3030" s="11" t="s">
        <v>634</v>
      </c>
      <c r="H3030" s="11" t="s">
        <v>1524</v>
      </c>
      <c r="I3030" s="17" t="s">
        <v>138</v>
      </c>
      <c r="J3030" s="17">
        <v>17.962987285733</v>
      </c>
      <c r="K3030" s="17">
        <v>-96.127276621128999</v>
      </c>
      <c r="L3030" s="17" t="str">
        <f>HYPERLINK("https://maps.google.com/?q=17.962987285733,-96.127276621129", "🔗 Ver Mapa")</f>
        <v>🔗 Ver Mapa</v>
      </c>
    </row>
    <row r="3031" spans="1:12" ht="43.5" x14ac:dyDescent="0.35">
      <c r="A3031" s="5" t="s">
        <v>270</v>
      </c>
      <c r="B3031" s="5" t="s">
        <v>271</v>
      </c>
      <c r="C3031" s="5" t="s">
        <v>1523</v>
      </c>
      <c r="D3031" s="8" t="s">
        <v>273</v>
      </c>
      <c r="E3031" s="16" t="s">
        <v>287</v>
      </c>
      <c r="F3031" s="16" t="s">
        <v>288</v>
      </c>
      <c r="G3031" s="8" t="s">
        <v>634</v>
      </c>
      <c r="H3031" s="8" t="s">
        <v>1524</v>
      </c>
      <c r="I3031" s="16" t="s">
        <v>138</v>
      </c>
      <c r="J3031" s="16">
        <v>17.963037039338001</v>
      </c>
      <c r="K3031" s="16">
        <v>-96.127029857899004</v>
      </c>
      <c r="L3031" s="16" t="str">
        <f>HYPERLINK("https://maps.google.com/?q=17.963037039338,-96.127029857899", "🔗 Ver Mapa")</f>
        <v>🔗 Ver Mapa</v>
      </c>
    </row>
    <row r="3032" spans="1:12" ht="43.5" x14ac:dyDescent="0.35">
      <c r="A3032" s="6" t="s">
        <v>270</v>
      </c>
      <c r="B3032" s="6" t="s">
        <v>271</v>
      </c>
      <c r="C3032" s="6" t="s">
        <v>1523</v>
      </c>
      <c r="D3032" s="11" t="s">
        <v>273</v>
      </c>
      <c r="E3032" s="17" t="s">
        <v>287</v>
      </c>
      <c r="F3032" s="17" t="s">
        <v>288</v>
      </c>
      <c r="G3032" s="11" t="s">
        <v>634</v>
      </c>
      <c r="H3032" s="11" t="s">
        <v>1524</v>
      </c>
      <c r="I3032" s="17" t="s">
        <v>138</v>
      </c>
      <c r="J3032" s="17">
        <v>17.963577636311999</v>
      </c>
      <c r="K3032" s="17">
        <v>-96.125797721008993</v>
      </c>
      <c r="L3032" s="17" t="str">
        <f>HYPERLINK("https://maps.google.com/?q=17.963577636312,-96.125797721009", "🔗 Ver Mapa")</f>
        <v>🔗 Ver Mapa</v>
      </c>
    </row>
    <row r="3033" spans="1:12" ht="43.5" x14ac:dyDescent="0.35">
      <c r="A3033" s="5" t="s">
        <v>270</v>
      </c>
      <c r="B3033" s="5" t="s">
        <v>271</v>
      </c>
      <c r="C3033" s="5" t="s">
        <v>1523</v>
      </c>
      <c r="D3033" s="8" t="s">
        <v>273</v>
      </c>
      <c r="E3033" s="16" t="s">
        <v>287</v>
      </c>
      <c r="F3033" s="16" t="s">
        <v>288</v>
      </c>
      <c r="G3033" s="8" t="s">
        <v>634</v>
      </c>
      <c r="H3033" s="8" t="s">
        <v>1524</v>
      </c>
      <c r="I3033" s="16" t="s">
        <v>138</v>
      </c>
      <c r="J3033" s="16">
        <v>17.964007869690999</v>
      </c>
      <c r="K3033" s="16">
        <v>-96.126253358390002</v>
      </c>
      <c r="L3033" s="16" t="str">
        <f>HYPERLINK("https://maps.google.com/?q=17.964007869691,-96.12625335839", "🔗 Ver Mapa")</f>
        <v>🔗 Ver Mapa</v>
      </c>
    </row>
    <row r="3034" spans="1:12" ht="43.5" x14ac:dyDescent="0.35">
      <c r="A3034" s="6" t="s">
        <v>270</v>
      </c>
      <c r="B3034" s="6" t="s">
        <v>271</v>
      </c>
      <c r="C3034" s="6" t="s">
        <v>1523</v>
      </c>
      <c r="D3034" s="11" t="s">
        <v>273</v>
      </c>
      <c r="E3034" s="17" t="s">
        <v>287</v>
      </c>
      <c r="F3034" s="17" t="s">
        <v>288</v>
      </c>
      <c r="G3034" s="11" t="s">
        <v>634</v>
      </c>
      <c r="H3034" s="11" t="s">
        <v>1524</v>
      </c>
      <c r="I3034" s="17" t="s">
        <v>138</v>
      </c>
      <c r="J3034" s="17">
        <v>17.964183919827001</v>
      </c>
      <c r="K3034" s="17">
        <v>-96.125960997606995</v>
      </c>
      <c r="L3034" s="17" t="str">
        <f>HYPERLINK("https://maps.google.com/?q=17.964183919827,-96.125960997607", "🔗 Ver Mapa")</f>
        <v>🔗 Ver Mapa</v>
      </c>
    </row>
    <row r="3035" spans="1:12" ht="43.5" x14ac:dyDescent="0.35">
      <c r="A3035" s="5" t="s">
        <v>270</v>
      </c>
      <c r="B3035" s="5" t="s">
        <v>271</v>
      </c>
      <c r="C3035" s="5" t="s">
        <v>1523</v>
      </c>
      <c r="D3035" s="8" t="s">
        <v>273</v>
      </c>
      <c r="E3035" s="16" t="s">
        <v>287</v>
      </c>
      <c r="F3035" s="16" t="s">
        <v>288</v>
      </c>
      <c r="G3035" s="8" t="s">
        <v>634</v>
      </c>
      <c r="H3035" s="8" t="s">
        <v>1524</v>
      </c>
      <c r="I3035" s="16" t="s">
        <v>138</v>
      </c>
      <c r="J3035" s="16">
        <v>17.964344875449999</v>
      </c>
      <c r="K3035" s="16">
        <v>-96.126073214848006</v>
      </c>
      <c r="L3035" s="16" t="str">
        <f>HYPERLINK("https://maps.google.com/?q=17.96434487545,-96.126073214848", "🔗 Ver Mapa")</f>
        <v>🔗 Ver Mapa</v>
      </c>
    </row>
    <row r="3036" spans="1:12" ht="43.5" x14ac:dyDescent="0.35">
      <c r="A3036" s="6" t="s">
        <v>270</v>
      </c>
      <c r="B3036" s="6" t="s">
        <v>271</v>
      </c>
      <c r="C3036" s="6" t="s">
        <v>1523</v>
      </c>
      <c r="D3036" s="11" t="s">
        <v>273</v>
      </c>
      <c r="E3036" s="17" t="s">
        <v>287</v>
      </c>
      <c r="F3036" s="17" t="s">
        <v>288</v>
      </c>
      <c r="G3036" s="11" t="s">
        <v>634</v>
      </c>
      <c r="H3036" s="11" t="s">
        <v>1524</v>
      </c>
      <c r="I3036" s="17" t="s">
        <v>138</v>
      </c>
      <c r="J3036" s="17">
        <v>17.964858777059</v>
      </c>
      <c r="K3036" s="17">
        <v>-96.126375398899995</v>
      </c>
      <c r="L3036" s="17" t="str">
        <f>HYPERLINK("https://maps.google.com/?q=17.964858777059,-96.1263753989", "🔗 Ver Mapa")</f>
        <v>🔗 Ver Mapa</v>
      </c>
    </row>
    <row r="3037" spans="1:12" ht="43.5" x14ac:dyDescent="0.35">
      <c r="A3037" s="5" t="s">
        <v>4</v>
      </c>
      <c r="B3037" s="5" t="s">
        <v>17</v>
      </c>
      <c r="C3037" s="5" t="s">
        <v>1525</v>
      </c>
      <c r="D3037" s="8" t="s">
        <v>64</v>
      </c>
      <c r="E3037" s="16" t="s">
        <v>79</v>
      </c>
      <c r="F3037" s="16" t="s">
        <v>195</v>
      </c>
      <c r="G3037" s="8" t="s">
        <v>236</v>
      </c>
      <c r="H3037" s="8" t="s">
        <v>237</v>
      </c>
      <c r="I3037" s="16" t="s">
        <v>296</v>
      </c>
      <c r="J3037" s="16">
        <v>16.299446</v>
      </c>
      <c r="K3037" s="16">
        <v>-96.770663999999996</v>
      </c>
      <c r="L3037" s="16" t="str">
        <f>HYPERLINK("https://maps.google.com/?q=16.299446,-96.770664", "🔗 Ver Mapa")</f>
        <v>🔗 Ver Mapa</v>
      </c>
    </row>
    <row r="3038" spans="1:12" ht="43.5" x14ac:dyDescent="0.35">
      <c r="A3038" s="6" t="s">
        <v>4</v>
      </c>
      <c r="B3038" s="6" t="s">
        <v>17</v>
      </c>
      <c r="C3038" s="6" t="s">
        <v>1525</v>
      </c>
      <c r="D3038" s="11" t="s">
        <v>64</v>
      </c>
      <c r="E3038" s="17" t="s">
        <v>79</v>
      </c>
      <c r="F3038" s="17" t="s">
        <v>195</v>
      </c>
      <c r="G3038" s="11" t="s">
        <v>236</v>
      </c>
      <c r="H3038" s="11" t="s">
        <v>237</v>
      </c>
      <c r="I3038" s="17" t="s">
        <v>296</v>
      </c>
      <c r="J3038" s="17">
        <v>16.299446</v>
      </c>
      <c r="K3038" s="17">
        <v>-96.770663999999996</v>
      </c>
      <c r="L3038" s="17" t="str">
        <f>HYPERLINK("https://maps.google.com/?q=16.299446,-96.770664", "🔗 Ver Mapa")</f>
        <v>🔗 Ver Mapa</v>
      </c>
    </row>
    <row r="3039" spans="1:12" ht="43.5" x14ac:dyDescent="0.35">
      <c r="A3039" s="5" t="s">
        <v>4</v>
      </c>
      <c r="B3039" s="5" t="s">
        <v>17</v>
      </c>
      <c r="C3039" s="5" t="s">
        <v>1525</v>
      </c>
      <c r="D3039" s="8" t="s">
        <v>64</v>
      </c>
      <c r="E3039" s="16" t="s">
        <v>79</v>
      </c>
      <c r="F3039" s="16" t="s">
        <v>195</v>
      </c>
      <c r="G3039" s="8" t="s">
        <v>236</v>
      </c>
      <c r="H3039" s="8" t="s">
        <v>237</v>
      </c>
      <c r="I3039" s="16" t="s">
        <v>296</v>
      </c>
      <c r="J3039" s="16">
        <v>16.299462999999999</v>
      </c>
      <c r="K3039" s="16">
        <v>-96.770548000000005</v>
      </c>
      <c r="L3039" s="16" t="str">
        <f>HYPERLINK("https://maps.google.com/?q=16.299463,-96.770548", "🔗 Ver Mapa")</f>
        <v>🔗 Ver Mapa</v>
      </c>
    </row>
    <row r="3040" spans="1:12" ht="43.5" x14ac:dyDescent="0.35">
      <c r="A3040" s="6" t="s">
        <v>4</v>
      </c>
      <c r="B3040" s="6" t="s">
        <v>17</v>
      </c>
      <c r="C3040" s="6" t="s">
        <v>1525</v>
      </c>
      <c r="D3040" s="11" t="s">
        <v>64</v>
      </c>
      <c r="E3040" s="17" t="s">
        <v>79</v>
      </c>
      <c r="F3040" s="17" t="s">
        <v>195</v>
      </c>
      <c r="G3040" s="11" t="s">
        <v>236</v>
      </c>
      <c r="H3040" s="11" t="s">
        <v>237</v>
      </c>
      <c r="I3040" s="17" t="s">
        <v>296</v>
      </c>
      <c r="J3040" s="17">
        <v>16.299506999999998</v>
      </c>
      <c r="K3040" s="17">
        <v>-96.770454000000001</v>
      </c>
      <c r="L3040" s="17" t="str">
        <f>HYPERLINK("https://maps.google.com/?q=16.299507,-96.770454", "🔗 Ver Mapa")</f>
        <v>🔗 Ver Mapa</v>
      </c>
    </row>
    <row r="3041" spans="1:12" ht="43.5" x14ac:dyDescent="0.35">
      <c r="A3041" s="5" t="s">
        <v>4</v>
      </c>
      <c r="B3041" s="5" t="s">
        <v>17</v>
      </c>
      <c r="C3041" s="5" t="s">
        <v>1525</v>
      </c>
      <c r="D3041" s="8" t="s">
        <v>64</v>
      </c>
      <c r="E3041" s="16" t="s">
        <v>79</v>
      </c>
      <c r="F3041" s="16" t="s">
        <v>195</v>
      </c>
      <c r="G3041" s="8" t="s">
        <v>236</v>
      </c>
      <c r="H3041" s="8" t="s">
        <v>237</v>
      </c>
      <c r="I3041" s="16" t="s">
        <v>296</v>
      </c>
      <c r="J3041" s="16">
        <v>16.299607999999999</v>
      </c>
      <c r="K3041" s="16">
        <v>-96.77064</v>
      </c>
      <c r="L3041" s="16" t="str">
        <f>HYPERLINK("https://maps.google.com/?q=16.299608,-96.77064", "🔗 Ver Mapa")</f>
        <v>🔗 Ver Mapa</v>
      </c>
    </row>
    <row r="3042" spans="1:12" ht="43.5" x14ac:dyDescent="0.35">
      <c r="A3042" s="6" t="s">
        <v>4</v>
      </c>
      <c r="B3042" s="6" t="s">
        <v>17</v>
      </c>
      <c r="C3042" s="6" t="s">
        <v>1525</v>
      </c>
      <c r="D3042" s="11" t="s">
        <v>64</v>
      </c>
      <c r="E3042" s="17" t="s">
        <v>79</v>
      </c>
      <c r="F3042" s="17" t="s">
        <v>195</v>
      </c>
      <c r="G3042" s="11" t="s">
        <v>236</v>
      </c>
      <c r="H3042" s="11" t="s">
        <v>237</v>
      </c>
      <c r="I3042" s="17" t="s">
        <v>296</v>
      </c>
      <c r="J3042" s="17">
        <v>16.299775</v>
      </c>
      <c r="K3042" s="17">
        <v>-96.770207999999997</v>
      </c>
      <c r="L3042" s="17" t="str">
        <f>HYPERLINK("https://maps.google.com/?q=16.299775,-96.770208", "🔗 Ver Mapa")</f>
        <v>🔗 Ver Mapa</v>
      </c>
    </row>
    <row r="3043" spans="1:12" ht="43.5" x14ac:dyDescent="0.35">
      <c r="A3043" s="5" t="s">
        <v>4</v>
      </c>
      <c r="B3043" s="5" t="s">
        <v>17</v>
      </c>
      <c r="C3043" s="5" t="s">
        <v>1525</v>
      </c>
      <c r="D3043" s="8" t="s">
        <v>64</v>
      </c>
      <c r="E3043" s="16" t="s">
        <v>79</v>
      </c>
      <c r="F3043" s="16" t="s">
        <v>195</v>
      </c>
      <c r="G3043" s="8" t="s">
        <v>236</v>
      </c>
      <c r="H3043" s="8" t="s">
        <v>237</v>
      </c>
      <c r="I3043" s="16" t="s">
        <v>296</v>
      </c>
      <c r="J3043" s="16">
        <v>16.299842999999999</v>
      </c>
      <c r="K3043" s="16">
        <v>-96.770674999999997</v>
      </c>
      <c r="L3043" s="16" t="str">
        <f>HYPERLINK("https://maps.google.com/?q=16.299843,-96.770675", "🔗 Ver Mapa")</f>
        <v>🔗 Ver Mapa</v>
      </c>
    </row>
    <row r="3044" spans="1:12" ht="43.5" x14ac:dyDescent="0.35">
      <c r="A3044" s="6" t="s">
        <v>4</v>
      </c>
      <c r="B3044" s="6" t="s">
        <v>17</v>
      </c>
      <c r="C3044" s="6" t="s">
        <v>1525</v>
      </c>
      <c r="D3044" s="11" t="s">
        <v>64</v>
      </c>
      <c r="E3044" s="17" t="s">
        <v>79</v>
      </c>
      <c r="F3044" s="17" t="s">
        <v>195</v>
      </c>
      <c r="G3044" s="11" t="s">
        <v>236</v>
      </c>
      <c r="H3044" s="11" t="s">
        <v>237</v>
      </c>
      <c r="I3044" s="17" t="s">
        <v>296</v>
      </c>
      <c r="J3044" s="17">
        <v>16.299887999999999</v>
      </c>
      <c r="K3044" s="17">
        <v>-96.769757999999996</v>
      </c>
      <c r="L3044" s="17" t="str">
        <f>HYPERLINK("https://maps.google.com/?q=16.299888,-96.769758", "🔗 Ver Mapa")</f>
        <v>🔗 Ver Mapa</v>
      </c>
    </row>
    <row r="3045" spans="1:12" ht="43.5" x14ac:dyDescent="0.35">
      <c r="A3045" s="5" t="s">
        <v>4</v>
      </c>
      <c r="B3045" s="5" t="s">
        <v>17</v>
      </c>
      <c r="C3045" s="5" t="s">
        <v>1525</v>
      </c>
      <c r="D3045" s="8" t="s">
        <v>64</v>
      </c>
      <c r="E3045" s="16" t="s">
        <v>79</v>
      </c>
      <c r="F3045" s="16" t="s">
        <v>195</v>
      </c>
      <c r="G3045" s="8" t="s">
        <v>236</v>
      </c>
      <c r="H3045" s="8" t="s">
        <v>237</v>
      </c>
      <c r="I3045" s="16" t="s">
        <v>296</v>
      </c>
      <c r="J3045" s="16">
        <v>16.299900999999998</v>
      </c>
      <c r="K3045" s="16">
        <v>-96.770112999999995</v>
      </c>
      <c r="L3045" s="16" t="str">
        <f>HYPERLINK("https://maps.google.com/?q=16.299901,-96.770113", "🔗 Ver Mapa")</f>
        <v>🔗 Ver Mapa</v>
      </c>
    </row>
    <row r="3046" spans="1:12" ht="43.5" x14ac:dyDescent="0.35">
      <c r="A3046" s="6" t="s">
        <v>4</v>
      </c>
      <c r="B3046" s="6" t="s">
        <v>17</v>
      </c>
      <c r="C3046" s="6" t="s">
        <v>1525</v>
      </c>
      <c r="D3046" s="11" t="s">
        <v>64</v>
      </c>
      <c r="E3046" s="17" t="s">
        <v>79</v>
      </c>
      <c r="F3046" s="17" t="s">
        <v>195</v>
      </c>
      <c r="G3046" s="11" t="s">
        <v>236</v>
      </c>
      <c r="H3046" s="11" t="s">
        <v>237</v>
      </c>
      <c r="I3046" s="17" t="s">
        <v>296</v>
      </c>
      <c r="J3046" s="17">
        <v>16.299918000000002</v>
      </c>
      <c r="K3046" s="17">
        <v>-96.770047000000005</v>
      </c>
      <c r="L3046" s="17" t="str">
        <f>HYPERLINK("https://maps.google.com/?q=16.299918,-96.770047", "🔗 Ver Mapa")</f>
        <v>🔗 Ver Mapa</v>
      </c>
    </row>
    <row r="3047" spans="1:12" ht="43.5" x14ac:dyDescent="0.35">
      <c r="A3047" s="5" t="s">
        <v>4</v>
      </c>
      <c r="B3047" s="5" t="s">
        <v>17</v>
      </c>
      <c r="C3047" s="5" t="s">
        <v>1525</v>
      </c>
      <c r="D3047" s="8" t="s">
        <v>64</v>
      </c>
      <c r="E3047" s="16" t="s">
        <v>79</v>
      </c>
      <c r="F3047" s="16" t="s">
        <v>195</v>
      </c>
      <c r="G3047" s="8" t="s">
        <v>236</v>
      </c>
      <c r="H3047" s="8" t="s">
        <v>237</v>
      </c>
      <c r="I3047" s="16" t="s">
        <v>296</v>
      </c>
      <c r="J3047" s="16">
        <v>16.299925999999999</v>
      </c>
      <c r="K3047" s="16">
        <v>-96.769907000000003</v>
      </c>
      <c r="L3047" s="16" t="str">
        <f>HYPERLINK("https://maps.google.com/?q=16.299926,-96.769907", "🔗 Ver Mapa")</f>
        <v>🔗 Ver Mapa</v>
      </c>
    </row>
    <row r="3048" spans="1:12" ht="43.5" x14ac:dyDescent="0.35">
      <c r="A3048" s="6" t="s">
        <v>4</v>
      </c>
      <c r="B3048" s="6" t="s">
        <v>17</v>
      </c>
      <c r="C3048" s="6" t="s">
        <v>1525</v>
      </c>
      <c r="D3048" s="11" t="s">
        <v>64</v>
      </c>
      <c r="E3048" s="17" t="s">
        <v>79</v>
      </c>
      <c r="F3048" s="17" t="s">
        <v>195</v>
      </c>
      <c r="G3048" s="11" t="s">
        <v>236</v>
      </c>
      <c r="H3048" s="11" t="s">
        <v>237</v>
      </c>
      <c r="I3048" s="17" t="s">
        <v>296</v>
      </c>
      <c r="J3048" s="17">
        <v>16.300032000000002</v>
      </c>
      <c r="K3048" s="17">
        <v>-96.770589000000001</v>
      </c>
      <c r="L3048" s="17" t="str">
        <f>HYPERLINK("https://maps.google.com/?q=16.300032,-96.770589", "🔗 Ver Mapa")</f>
        <v>🔗 Ver Mapa</v>
      </c>
    </row>
    <row r="3049" spans="1:12" ht="43.5" x14ac:dyDescent="0.35">
      <c r="A3049" s="5" t="s">
        <v>4</v>
      </c>
      <c r="B3049" s="5" t="s">
        <v>17</v>
      </c>
      <c r="C3049" s="5" t="s">
        <v>1525</v>
      </c>
      <c r="D3049" s="8" t="s">
        <v>64</v>
      </c>
      <c r="E3049" s="16" t="s">
        <v>79</v>
      </c>
      <c r="F3049" s="16" t="s">
        <v>195</v>
      </c>
      <c r="G3049" s="8" t="s">
        <v>236</v>
      </c>
      <c r="H3049" s="8" t="s">
        <v>237</v>
      </c>
      <c r="I3049" s="16" t="s">
        <v>296</v>
      </c>
      <c r="J3049" s="16">
        <v>16.300108000000002</v>
      </c>
      <c r="K3049" s="16">
        <v>-96.770072999999996</v>
      </c>
      <c r="L3049" s="16" t="str">
        <f>HYPERLINK("https://maps.google.com/?q=16.300108,-96.770073", "🔗 Ver Mapa")</f>
        <v>🔗 Ver Mapa</v>
      </c>
    </row>
    <row r="3050" spans="1:12" ht="43.5" x14ac:dyDescent="0.35">
      <c r="A3050" s="6" t="s">
        <v>4</v>
      </c>
      <c r="B3050" s="6" t="s">
        <v>17</v>
      </c>
      <c r="C3050" s="6" t="s">
        <v>1525</v>
      </c>
      <c r="D3050" s="11" t="s">
        <v>64</v>
      </c>
      <c r="E3050" s="17" t="s">
        <v>79</v>
      </c>
      <c r="F3050" s="17" t="s">
        <v>195</v>
      </c>
      <c r="G3050" s="11" t="s">
        <v>236</v>
      </c>
      <c r="H3050" s="11" t="s">
        <v>237</v>
      </c>
      <c r="I3050" s="17" t="s">
        <v>296</v>
      </c>
      <c r="J3050" s="17">
        <v>16.300135000000001</v>
      </c>
      <c r="K3050" s="17">
        <v>-96.770054000000002</v>
      </c>
      <c r="L3050" s="17" t="str">
        <f>HYPERLINK("https://maps.google.com/?q=16.300135,-96.770054", "🔗 Ver Mapa")</f>
        <v>🔗 Ver Mapa</v>
      </c>
    </row>
    <row r="3051" spans="1:12" ht="43.5" x14ac:dyDescent="0.35">
      <c r="A3051" s="5" t="s">
        <v>4</v>
      </c>
      <c r="B3051" s="5" t="s">
        <v>17</v>
      </c>
      <c r="C3051" s="5" t="s">
        <v>1525</v>
      </c>
      <c r="D3051" s="8" t="s">
        <v>64</v>
      </c>
      <c r="E3051" s="16" t="s">
        <v>79</v>
      </c>
      <c r="F3051" s="16" t="s">
        <v>195</v>
      </c>
      <c r="G3051" s="8" t="s">
        <v>236</v>
      </c>
      <c r="H3051" s="8" t="s">
        <v>237</v>
      </c>
      <c r="I3051" s="16" t="s">
        <v>296</v>
      </c>
      <c r="J3051" s="16">
        <v>16.300136999999999</v>
      </c>
      <c r="K3051" s="16">
        <v>-96.770019000000005</v>
      </c>
      <c r="L3051" s="16" t="str">
        <f>HYPERLINK("https://maps.google.com/?q=16.300137,-96.770019", "🔗 Ver Mapa")</f>
        <v>🔗 Ver Mapa</v>
      </c>
    </row>
    <row r="3052" spans="1:12" ht="43.5" x14ac:dyDescent="0.35">
      <c r="A3052" s="6" t="s">
        <v>4</v>
      </c>
      <c r="B3052" s="6" t="s">
        <v>17</v>
      </c>
      <c r="C3052" s="6" t="s">
        <v>1525</v>
      </c>
      <c r="D3052" s="11" t="s">
        <v>64</v>
      </c>
      <c r="E3052" s="17" t="s">
        <v>79</v>
      </c>
      <c r="F3052" s="17" t="s">
        <v>195</v>
      </c>
      <c r="G3052" s="11" t="s">
        <v>236</v>
      </c>
      <c r="H3052" s="11" t="s">
        <v>237</v>
      </c>
      <c r="I3052" s="17" t="s">
        <v>296</v>
      </c>
      <c r="J3052" s="17">
        <v>16.300139000000001</v>
      </c>
      <c r="K3052" s="17">
        <v>-96.770456999999993</v>
      </c>
      <c r="L3052" s="17" t="str">
        <f>HYPERLINK("https://maps.google.com/?q=16.300139,-96.770457", "🔗 Ver Mapa")</f>
        <v>🔗 Ver Mapa</v>
      </c>
    </row>
    <row r="3053" spans="1:12" ht="43.5" x14ac:dyDescent="0.35">
      <c r="A3053" s="5" t="s">
        <v>1</v>
      </c>
      <c r="B3053" s="5" t="s">
        <v>14</v>
      </c>
      <c r="C3053" s="5" t="s">
        <v>1526</v>
      </c>
      <c r="D3053" s="8" t="s">
        <v>61</v>
      </c>
      <c r="E3053" s="16" t="s">
        <v>75</v>
      </c>
      <c r="F3053" s="16" t="s">
        <v>86</v>
      </c>
      <c r="G3053" s="8" t="s">
        <v>103</v>
      </c>
      <c r="H3053" s="8" t="s">
        <v>125</v>
      </c>
      <c r="I3053" s="16" t="s">
        <v>138</v>
      </c>
      <c r="J3053" s="16">
        <v>17.078057062614</v>
      </c>
      <c r="K3053" s="16">
        <v>-96.743973463724004</v>
      </c>
      <c r="L3053" s="16" t="str">
        <f>HYPERLINK("https://maps.google.com/?q=17.078057062614,-96.743973463724", "🔗 Ver Mapa")</f>
        <v>🔗 Ver Mapa</v>
      </c>
    </row>
    <row r="3054" spans="1:12" ht="43.5" x14ac:dyDescent="0.35">
      <c r="A3054" s="6" t="s">
        <v>2</v>
      </c>
      <c r="B3054" s="6" t="s">
        <v>15</v>
      </c>
      <c r="C3054" s="6" t="s">
        <v>1527</v>
      </c>
      <c r="D3054" s="11" t="s">
        <v>62</v>
      </c>
      <c r="E3054" s="17" t="s">
        <v>75</v>
      </c>
      <c r="F3054" s="17" t="s">
        <v>86</v>
      </c>
      <c r="G3054" s="11" t="s">
        <v>103</v>
      </c>
      <c r="H3054" s="11" t="s">
        <v>125</v>
      </c>
      <c r="I3054" s="17" t="s">
        <v>138</v>
      </c>
      <c r="J3054" s="17">
        <v>17.049216000000001</v>
      </c>
      <c r="K3054" s="17">
        <v>-96.727602000000005</v>
      </c>
      <c r="L3054" s="17" t="str">
        <f>HYPERLINK("https://maps.google.com/?q=17.049216,-96.727602", "🔗 Ver Mapa")</f>
        <v>🔗 Ver Mapa</v>
      </c>
    </row>
    <row r="3055" spans="1:12" ht="43.5" x14ac:dyDescent="0.35">
      <c r="A3055" s="5" t="s">
        <v>2</v>
      </c>
      <c r="B3055" s="5" t="s">
        <v>15</v>
      </c>
      <c r="C3055" s="5" t="s">
        <v>1528</v>
      </c>
      <c r="D3055" s="8" t="s">
        <v>62</v>
      </c>
      <c r="E3055" s="16" t="s">
        <v>76</v>
      </c>
      <c r="F3055" s="16" t="s">
        <v>85</v>
      </c>
      <c r="G3055" s="8" t="s">
        <v>102</v>
      </c>
      <c r="H3055" s="8" t="s">
        <v>124</v>
      </c>
      <c r="I3055" s="16" t="s">
        <v>138</v>
      </c>
      <c r="J3055" s="16">
        <v>15.746679</v>
      </c>
      <c r="K3055" s="16">
        <v>-96.544830000000005</v>
      </c>
      <c r="L3055" s="16" t="str">
        <f>HYPERLINK("https://maps.google.com/?q=15.746679,-96.54483", "🔗 Ver Mapa")</f>
        <v>🔗 Ver Mapa</v>
      </c>
    </row>
    <row r="3056" spans="1:12" ht="43.5" x14ac:dyDescent="0.35">
      <c r="A3056" s="6" t="s">
        <v>2</v>
      </c>
      <c r="B3056" s="6" t="s">
        <v>15</v>
      </c>
      <c r="C3056" s="6" t="s">
        <v>1528</v>
      </c>
      <c r="D3056" s="11" t="s">
        <v>62</v>
      </c>
      <c r="E3056" s="17" t="s">
        <v>76</v>
      </c>
      <c r="F3056" s="17" t="s">
        <v>85</v>
      </c>
      <c r="G3056" s="11" t="s">
        <v>102</v>
      </c>
      <c r="H3056" s="11" t="s">
        <v>124</v>
      </c>
      <c r="I3056" s="17" t="s">
        <v>138</v>
      </c>
      <c r="J3056" s="17">
        <v>15.829314305655</v>
      </c>
      <c r="K3056" s="17">
        <v>-96.319914903124001</v>
      </c>
      <c r="L3056" s="17" t="str">
        <f>HYPERLINK("https://maps.google.com/?q=15.829314305655,-96.319914903124", "🔗 Ver Mapa")</f>
        <v>🔗 Ver Mapa</v>
      </c>
    </row>
    <row r="3057" spans="1:12" ht="43.5" x14ac:dyDescent="0.35">
      <c r="A3057" s="5" t="s">
        <v>2</v>
      </c>
      <c r="B3057" s="5" t="s">
        <v>15</v>
      </c>
      <c r="C3057" s="5" t="s">
        <v>1528</v>
      </c>
      <c r="D3057" s="8" t="s">
        <v>62</v>
      </c>
      <c r="E3057" s="16" t="s">
        <v>76</v>
      </c>
      <c r="F3057" s="16" t="s">
        <v>85</v>
      </c>
      <c r="G3057" s="8" t="s">
        <v>102</v>
      </c>
      <c r="H3057" s="8" t="s">
        <v>124</v>
      </c>
      <c r="I3057" s="16" t="s">
        <v>138</v>
      </c>
      <c r="J3057" s="16">
        <v>15.871634</v>
      </c>
      <c r="K3057" s="16">
        <v>-97.077738999999994</v>
      </c>
      <c r="L3057" s="16" t="str">
        <f>HYPERLINK("https://maps.google.com/?q=15.871634,-97.077739", "🔗 Ver Mapa")</f>
        <v>🔗 Ver Mapa</v>
      </c>
    </row>
    <row r="3058" spans="1:12" ht="43.5" x14ac:dyDescent="0.35">
      <c r="A3058" s="6" t="s">
        <v>2</v>
      </c>
      <c r="B3058" s="6" t="s">
        <v>15</v>
      </c>
      <c r="C3058" s="6" t="s">
        <v>1528</v>
      </c>
      <c r="D3058" s="11" t="s">
        <v>62</v>
      </c>
      <c r="E3058" s="17" t="s">
        <v>76</v>
      </c>
      <c r="F3058" s="17" t="s">
        <v>85</v>
      </c>
      <c r="G3058" s="11" t="s">
        <v>102</v>
      </c>
      <c r="H3058" s="11" t="s">
        <v>124</v>
      </c>
      <c r="I3058" s="17" t="s">
        <v>138</v>
      </c>
      <c r="J3058" s="17">
        <v>16.281291</v>
      </c>
      <c r="K3058" s="17">
        <v>-97.820215700000006</v>
      </c>
      <c r="L3058" s="17" t="str">
        <f>HYPERLINK("https://maps.google.com/?q=16.281291,-97.8202157", "🔗 Ver Mapa")</f>
        <v>🔗 Ver Mapa</v>
      </c>
    </row>
    <row r="3059" spans="1:12" ht="43.5" x14ac:dyDescent="0.35">
      <c r="A3059" s="5" t="s">
        <v>2</v>
      </c>
      <c r="B3059" s="5" t="s">
        <v>15</v>
      </c>
      <c r="C3059" s="5" t="s">
        <v>1528</v>
      </c>
      <c r="D3059" s="8" t="s">
        <v>62</v>
      </c>
      <c r="E3059" s="16" t="s">
        <v>76</v>
      </c>
      <c r="F3059" s="16" t="s">
        <v>85</v>
      </c>
      <c r="G3059" s="8" t="s">
        <v>102</v>
      </c>
      <c r="H3059" s="8" t="s">
        <v>124</v>
      </c>
      <c r="I3059" s="16" t="s">
        <v>138</v>
      </c>
      <c r="J3059" s="16">
        <v>16.332236357294001</v>
      </c>
      <c r="K3059" s="16">
        <v>-98.062656084596995</v>
      </c>
      <c r="L3059" s="16" t="str">
        <f>HYPERLINK("https://maps.google.com/?q=16.332236357294,-98.062656084597", "🔗 Ver Mapa")</f>
        <v>🔗 Ver Mapa</v>
      </c>
    </row>
    <row r="3060" spans="1:12" ht="43.5" x14ac:dyDescent="0.35">
      <c r="A3060" s="6" t="s">
        <v>2</v>
      </c>
      <c r="B3060" s="6" t="s">
        <v>15</v>
      </c>
      <c r="C3060" s="6" t="s">
        <v>1528</v>
      </c>
      <c r="D3060" s="11" t="s">
        <v>62</v>
      </c>
      <c r="E3060" s="17" t="s">
        <v>76</v>
      </c>
      <c r="F3060" s="17" t="s">
        <v>85</v>
      </c>
      <c r="G3060" s="11" t="s">
        <v>102</v>
      </c>
      <c r="H3060" s="11" t="s">
        <v>124</v>
      </c>
      <c r="I3060" s="17" t="s">
        <v>138</v>
      </c>
      <c r="J3060" s="17">
        <v>16.440173000000001</v>
      </c>
      <c r="K3060" s="17">
        <v>-95.442898999999997</v>
      </c>
      <c r="L3060" s="17" t="str">
        <f>HYPERLINK("https://maps.google.com/?q=16.440173,-95.442899", "🔗 Ver Mapa")</f>
        <v>🔗 Ver Mapa</v>
      </c>
    </row>
    <row r="3061" spans="1:12" ht="43.5" x14ac:dyDescent="0.35">
      <c r="A3061" s="5" t="s">
        <v>2</v>
      </c>
      <c r="B3061" s="5" t="s">
        <v>15</v>
      </c>
      <c r="C3061" s="5" t="s">
        <v>1528</v>
      </c>
      <c r="D3061" s="8" t="s">
        <v>62</v>
      </c>
      <c r="E3061" s="16" t="s">
        <v>76</v>
      </c>
      <c r="F3061" s="16" t="s">
        <v>85</v>
      </c>
      <c r="G3061" s="8" t="s">
        <v>102</v>
      </c>
      <c r="H3061" s="8" t="s">
        <v>124</v>
      </c>
      <c r="I3061" s="16" t="s">
        <v>138</v>
      </c>
      <c r="J3061" s="16">
        <v>16.459437999999999</v>
      </c>
      <c r="K3061" s="16">
        <v>-97.953529000000003</v>
      </c>
      <c r="L3061" s="16" t="str">
        <f>HYPERLINK("https://maps.google.com/?q=16.459438,-97.953529", "🔗 Ver Mapa")</f>
        <v>🔗 Ver Mapa</v>
      </c>
    </row>
    <row r="3062" spans="1:12" ht="43.5" x14ac:dyDescent="0.35">
      <c r="A3062" s="6" t="s">
        <v>2</v>
      </c>
      <c r="B3062" s="6" t="s">
        <v>15</v>
      </c>
      <c r="C3062" s="6" t="s">
        <v>1528</v>
      </c>
      <c r="D3062" s="11" t="s">
        <v>62</v>
      </c>
      <c r="E3062" s="17" t="s">
        <v>76</v>
      </c>
      <c r="F3062" s="17" t="s">
        <v>85</v>
      </c>
      <c r="G3062" s="11" t="s">
        <v>102</v>
      </c>
      <c r="H3062" s="11" t="s">
        <v>124</v>
      </c>
      <c r="I3062" s="17" t="s">
        <v>138</v>
      </c>
      <c r="J3062" s="17">
        <v>17.66461</v>
      </c>
      <c r="K3062" s="17">
        <v>-97.575360000000003</v>
      </c>
      <c r="L3062" s="17" t="str">
        <f>HYPERLINK("https://maps.google.com/?q=17.66461,-97.57536", "🔗 Ver Mapa")</f>
        <v>🔗 Ver Mapa</v>
      </c>
    </row>
    <row r="3063" spans="1:12" ht="43.5" x14ac:dyDescent="0.35">
      <c r="A3063" s="5" t="s">
        <v>2</v>
      </c>
      <c r="B3063" s="5" t="s">
        <v>15</v>
      </c>
      <c r="C3063" s="5" t="s">
        <v>1528</v>
      </c>
      <c r="D3063" s="8" t="s">
        <v>62</v>
      </c>
      <c r="E3063" s="16" t="s">
        <v>76</v>
      </c>
      <c r="F3063" s="16" t="s">
        <v>85</v>
      </c>
      <c r="G3063" s="8" t="s">
        <v>102</v>
      </c>
      <c r="H3063" s="8" t="s">
        <v>124</v>
      </c>
      <c r="I3063" s="16" t="s">
        <v>138</v>
      </c>
      <c r="J3063" s="16">
        <v>18.25226</v>
      </c>
      <c r="K3063" s="16">
        <v>-96.396073999999999</v>
      </c>
      <c r="L3063" s="16" t="str">
        <f>HYPERLINK("https://maps.google.com/?q=18.25226,-96.396074", "🔗 Ver Mapa")</f>
        <v>🔗 Ver Mapa</v>
      </c>
    </row>
    <row r="3064" spans="1:12" ht="43.5" x14ac:dyDescent="0.35">
      <c r="A3064" s="6" t="s">
        <v>2</v>
      </c>
      <c r="B3064" s="6" t="s">
        <v>15</v>
      </c>
      <c r="C3064" s="6" t="s">
        <v>1528</v>
      </c>
      <c r="D3064" s="11" t="s">
        <v>62</v>
      </c>
      <c r="E3064" s="17" t="s">
        <v>76</v>
      </c>
      <c r="F3064" s="17" t="s">
        <v>85</v>
      </c>
      <c r="G3064" s="11" t="s">
        <v>102</v>
      </c>
      <c r="H3064" s="11" t="s">
        <v>124</v>
      </c>
      <c r="I3064" s="17" t="s">
        <v>138</v>
      </c>
      <c r="J3064" s="17">
        <v>18.594260999999999</v>
      </c>
      <c r="K3064" s="17">
        <v>-96.671211</v>
      </c>
      <c r="L3064" s="17" t="str">
        <f>HYPERLINK("https://maps.google.com/?q=18.594261,-96.671211", "🔗 Ver Mapa")</f>
        <v>🔗 Ver Mapa</v>
      </c>
    </row>
    <row r="3065" spans="1:12" ht="58" x14ac:dyDescent="0.35">
      <c r="A3065" s="5" t="s">
        <v>7</v>
      </c>
      <c r="B3065" s="5" t="s">
        <v>20</v>
      </c>
      <c r="C3065" s="5" t="s">
        <v>1529</v>
      </c>
      <c r="D3065" s="8" t="s">
        <v>67</v>
      </c>
      <c r="E3065" s="16" t="s">
        <v>75</v>
      </c>
      <c r="F3065" s="16" t="s">
        <v>86</v>
      </c>
      <c r="G3065" s="8" t="s">
        <v>103</v>
      </c>
      <c r="H3065" s="8" t="s">
        <v>125</v>
      </c>
      <c r="I3065" s="16" t="s">
        <v>138</v>
      </c>
      <c r="J3065" s="16">
        <v>17.066172000000002</v>
      </c>
      <c r="K3065" s="16">
        <v>-96.759721999999996</v>
      </c>
      <c r="L3065" s="16" t="str">
        <f>HYPERLINK("https://maps.google.com/?q=17.066172,-96.759722", "🔗 Ver Mapa")</f>
        <v>🔗 Ver Mapa</v>
      </c>
    </row>
    <row r="3066" spans="1:12" ht="58" x14ac:dyDescent="0.35">
      <c r="A3066" s="6" t="s">
        <v>7</v>
      </c>
      <c r="B3066" s="6" t="s">
        <v>20</v>
      </c>
      <c r="C3066" s="6" t="s">
        <v>1530</v>
      </c>
      <c r="D3066" s="11" t="s">
        <v>219</v>
      </c>
      <c r="E3066" s="17" t="s">
        <v>75</v>
      </c>
      <c r="F3066" s="17" t="s">
        <v>86</v>
      </c>
      <c r="G3066" s="11" t="s">
        <v>1531</v>
      </c>
      <c r="H3066" s="11" t="s">
        <v>1532</v>
      </c>
      <c r="I3066" s="17" t="s">
        <v>138</v>
      </c>
      <c r="J3066" s="17">
        <v>17.102342</v>
      </c>
      <c r="K3066" s="17">
        <v>-96.676910000000007</v>
      </c>
      <c r="L3066" s="17" t="str">
        <f>HYPERLINK("https://maps.google.com/?q=17.102342,-96.67691", "🔗 Ver Mapa")</f>
        <v>🔗 Ver Mapa</v>
      </c>
    </row>
    <row r="3067" spans="1:12" ht="58" x14ac:dyDescent="0.35">
      <c r="A3067" s="5" t="s">
        <v>7</v>
      </c>
      <c r="B3067" s="5" t="s">
        <v>20</v>
      </c>
      <c r="C3067" s="5" t="s">
        <v>1530</v>
      </c>
      <c r="D3067" s="8" t="s">
        <v>219</v>
      </c>
      <c r="E3067" s="16" t="s">
        <v>75</v>
      </c>
      <c r="F3067" s="16" t="s">
        <v>86</v>
      </c>
      <c r="G3067" s="8" t="s">
        <v>1531</v>
      </c>
      <c r="H3067" s="8" t="s">
        <v>1532</v>
      </c>
      <c r="I3067" s="16" t="s">
        <v>138</v>
      </c>
      <c r="J3067" s="16">
        <v>17.103967000000001</v>
      </c>
      <c r="K3067" s="16">
        <v>-96.676016000000004</v>
      </c>
      <c r="L3067" s="16" t="str">
        <f>HYPERLINK("https://maps.google.com/?q=17.103967,-96.676016", "🔗 Ver Mapa")</f>
        <v>🔗 Ver Mapa</v>
      </c>
    </row>
    <row r="3068" spans="1:12" ht="58" x14ac:dyDescent="0.35">
      <c r="A3068" s="6" t="s">
        <v>7</v>
      </c>
      <c r="B3068" s="6" t="s">
        <v>20</v>
      </c>
      <c r="C3068" s="6" t="s">
        <v>1530</v>
      </c>
      <c r="D3068" s="11" t="s">
        <v>219</v>
      </c>
      <c r="E3068" s="17" t="s">
        <v>75</v>
      </c>
      <c r="F3068" s="17" t="s">
        <v>86</v>
      </c>
      <c r="G3068" s="11" t="s">
        <v>1531</v>
      </c>
      <c r="H3068" s="11" t="s">
        <v>1532</v>
      </c>
      <c r="I3068" s="17" t="s">
        <v>138</v>
      </c>
      <c r="J3068" s="17">
        <v>17.105051</v>
      </c>
      <c r="K3068" s="17">
        <v>-96.673692000000003</v>
      </c>
      <c r="L3068" s="17" t="str">
        <f>HYPERLINK("https://maps.google.com/?q=17.105051,-96.673692", "🔗 Ver Mapa")</f>
        <v>🔗 Ver Mapa</v>
      </c>
    </row>
    <row r="3069" spans="1:12" ht="58" x14ac:dyDescent="0.35">
      <c r="A3069" s="5" t="s">
        <v>7</v>
      </c>
      <c r="B3069" s="5" t="s">
        <v>20</v>
      </c>
      <c r="C3069" s="5" t="s">
        <v>1533</v>
      </c>
      <c r="D3069" s="8" t="s">
        <v>67</v>
      </c>
      <c r="E3069" s="16" t="s">
        <v>75</v>
      </c>
      <c r="F3069" s="16" t="s">
        <v>87</v>
      </c>
      <c r="G3069" s="8" t="s">
        <v>1534</v>
      </c>
      <c r="H3069" s="8" t="s">
        <v>1535</v>
      </c>
      <c r="I3069" s="16" t="s">
        <v>138</v>
      </c>
      <c r="J3069" s="16">
        <v>17.304296000000001</v>
      </c>
      <c r="K3069" s="16">
        <v>-96.914079000000001</v>
      </c>
      <c r="L3069" s="16" t="str">
        <f>HYPERLINK("https://maps.google.com/?q=17.304296,-96.914079", "🔗 Ver Mapa")</f>
        <v>🔗 Ver Mapa</v>
      </c>
    </row>
    <row r="3070" spans="1:12" ht="58" x14ac:dyDescent="0.35">
      <c r="A3070" s="6" t="s">
        <v>7</v>
      </c>
      <c r="B3070" s="6" t="s">
        <v>20</v>
      </c>
      <c r="C3070" s="6" t="s">
        <v>1533</v>
      </c>
      <c r="D3070" s="11" t="s">
        <v>67</v>
      </c>
      <c r="E3070" s="17" t="s">
        <v>75</v>
      </c>
      <c r="F3070" s="17" t="s">
        <v>87</v>
      </c>
      <c r="G3070" s="11" t="s">
        <v>1534</v>
      </c>
      <c r="H3070" s="11" t="s">
        <v>1535</v>
      </c>
      <c r="I3070" s="17" t="s">
        <v>138</v>
      </c>
      <c r="J3070" s="17">
        <v>17.304891999999999</v>
      </c>
      <c r="K3070" s="17">
        <v>-96.914344</v>
      </c>
      <c r="L3070" s="17" t="str">
        <f>HYPERLINK("https://maps.google.com/?q=17.304892,-96.914344", "🔗 Ver Mapa")</f>
        <v>🔗 Ver Mapa</v>
      </c>
    </row>
    <row r="3071" spans="1:12" ht="58" x14ac:dyDescent="0.35">
      <c r="A3071" s="5" t="s">
        <v>7</v>
      </c>
      <c r="B3071" s="5" t="s">
        <v>20</v>
      </c>
      <c r="C3071" s="5" t="s">
        <v>1533</v>
      </c>
      <c r="D3071" s="8" t="s">
        <v>67</v>
      </c>
      <c r="E3071" s="16" t="s">
        <v>75</v>
      </c>
      <c r="F3071" s="16" t="s">
        <v>87</v>
      </c>
      <c r="G3071" s="8" t="s">
        <v>1534</v>
      </c>
      <c r="H3071" s="8" t="s">
        <v>1535</v>
      </c>
      <c r="I3071" s="16" t="s">
        <v>138</v>
      </c>
      <c r="J3071" s="16">
        <v>17.305281999999998</v>
      </c>
      <c r="K3071" s="16">
        <v>-96.914321999999999</v>
      </c>
      <c r="L3071" s="16" t="str">
        <f>HYPERLINK("https://maps.google.com/?q=17.305282,-96.914322", "🔗 Ver Mapa")</f>
        <v>🔗 Ver Mapa</v>
      </c>
    </row>
    <row r="3072" spans="1:12" ht="58" x14ac:dyDescent="0.35">
      <c r="A3072" s="6" t="s">
        <v>7</v>
      </c>
      <c r="B3072" s="6" t="s">
        <v>20</v>
      </c>
      <c r="C3072" s="6" t="s">
        <v>1533</v>
      </c>
      <c r="D3072" s="11" t="s">
        <v>67</v>
      </c>
      <c r="E3072" s="17" t="s">
        <v>75</v>
      </c>
      <c r="F3072" s="17" t="s">
        <v>87</v>
      </c>
      <c r="G3072" s="11" t="s">
        <v>1534</v>
      </c>
      <c r="H3072" s="11" t="s">
        <v>1535</v>
      </c>
      <c r="I3072" s="17" t="s">
        <v>138</v>
      </c>
      <c r="J3072" s="17">
        <v>17.305389121586</v>
      </c>
      <c r="K3072" s="17">
        <v>-96.914318434359004</v>
      </c>
      <c r="L3072" s="17" t="str">
        <f>HYPERLINK("https://maps.google.com/?q=17.305389121586,-96.914318434359", "🔗 Ver Mapa")</f>
        <v>🔗 Ver Mapa</v>
      </c>
    </row>
    <row r="3073" spans="1:12" ht="58" x14ac:dyDescent="0.35">
      <c r="A3073" s="5" t="s">
        <v>7</v>
      </c>
      <c r="B3073" s="5" t="s">
        <v>20</v>
      </c>
      <c r="C3073" s="5" t="s">
        <v>1533</v>
      </c>
      <c r="D3073" s="8" t="s">
        <v>67</v>
      </c>
      <c r="E3073" s="16" t="s">
        <v>75</v>
      </c>
      <c r="F3073" s="16" t="s">
        <v>87</v>
      </c>
      <c r="G3073" s="8" t="s">
        <v>1534</v>
      </c>
      <c r="H3073" s="8" t="s">
        <v>1535</v>
      </c>
      <c r="I3073" s="16" t="s">
        <v>138</v>
      </c>
      <c r="J3073" s="16">
        <v>17.306941453202999</v>
      </c>
      <c r="K3073" s="16">
        <v>-96.915063034393</v>
      </c>
      <c r="L3073" s="16" t="str">
        <f>HYPERLINK("https://maps.google.com/?q=17.306941453203,-96.915063034393", "🔗 Ver Mapa")</f>
        <v>🔗 Ver Mapa</v>
      </c>
    </row>
    <row r="3074" spans="1:12" ht="58" x14ac:dyDescent="0.35">
      <c r="A3074" s="6" t="s">
        <v>7</v>
      </c>
      <c r="B3074" s="6" t="s">
        <v>20</v>
      </c>
      <c r="C3074" s="6" t="s">
        <v>1533</v>
      </c>
      <c r="D3074" s="11" t="s">
        <v>67</v>
      </c>
      <c r="E3074" s="17" t="s">
        <v>75</v>
      </c>
      <c r="F3074" s="17" t="s">
        <v>87</v>
      </c>
      <c r="G3074" s="11" t="s">
        <v>1534</v>
      </c>
      <c r="H3074" s="11" t="s">
        <v>1535</v>
      </c>
      <c r="I3074" s="17" t="s">
        <v>138</v>
      </c>
      <c r="J3074" s="17">
        <v>17.309161929818998</v>
      </c>
      <c r="K3074" s="17">
        <v>-96.915833509262001</v>
      </c>
      <c r="L3074" s="17" t="str">
        <f>HYPERLINK("https://maps.google.com/?q=17.309161929819,-96.915833509262", "🔗 Ver Mapa")</f>
        <v>🔗 Ver Mapa</v>
      </c>
    </row>
    <row r="3075" spans="1:12" ht="43.5" x14ac:dyDescent="0.35">
      <c r="A3075" s="5" t="s">
        <v>7</v>
      </c>
      <c r="B3075" s="5" t="s">
        <v>20</v>
      </c>
      <c r="C3075" s="5" t="s">
        <v>1536</v>
      </c>
      <c r="D3075" s="8" t="s">
        <v>219</v>
      </c>
      <c r="E3075" s="16" t="s">
        <v>78</v>
      </c>
      <c r="F3075" s="16" t="s">
        <v>399</v>
      </c>
      <c r="G3075" s="8" t="s">
        <v>1537</v>
      </c>
      <c r="H3075" s="8" t="s">
        <v>1538</v>
      </c>
      <c r="I3075" s="16" t="s">
        <v>138</v>
      </c>
      <c r="J3075" s="16">
        <v>17.439160000000001</v>
      </c>
      <c r="K3075" s="16">
        <v>-96.618399999999994</v>
      </c>
      <c r="L3075" s="16" t="str">
        <f>HYPERLINK("https://maps.google.com/?q=17.43916,-96.6184", "🔗 Ver Mapa")</f>
        <v>🔗 Ver Mapa</v>
      </c>
    </row>
    <row r="3076" spans="1:12" ht="43.5" x14ac:dyDescent="0.35">
      <c r="A3076" s="6" t="s">
        <v>7</v>
      </c>
      <c r="B3076" s="6" t="s">
        <v>20</v>
      </c>
      <c r="C3076" s="6" t="s">
        <v>1536</v>
      </c>
      <c r="D3076" s="11" t="s">
        <v>219</v>
      </c>
      <c r="E3076" s="17" t="s">
        <v>78</v>
      </c>
      <c r="F3076" s="17" t="s">
        <v>399</v>
      </c>
      <c r="G3076" s="11" t="s">
        <v>1537</v>
      </c>
      <c r="H3076" s="11" t="s">
        <v>1538</v>
      </c>
      <c r="I3076" s="17" t="s">
        <v>138</v>
      </c>
      <c r="J3076" s="17">
        <v>17.440380000000001</v>
      </c>
      <c r="K3076" s="17">
        <v>-96.619050000000001</v>
      </c>
      <c r="L3076" s="17" t="str">
        <f>HYPERLINK("https://maps.google.com/?q=17.44038,-96.61905", "🔗 Ver Mapa")</f>
        <v>🔗 Ver Mapa</v>
      </c>
    </row>
    <row r="3077" spans="1:12" ht="43.5" x14ac:dyDescent="0.35">
      <c r="A3077" s="5" t="s">
        <v>7</v>
      </c>
      <c r="B3077" s="5" t="s">
        <v>20</v>
      </c>
      <c r="C3077" s="5" t="s">
        <v>1536</v>
      </c>
      <c r="D3077" s="8" t="s">
        <v>219</v>
      </c>
      <c r="E3077" s="16" t="s">
        <v>78</v>
      </c>
      <c r="F3077" s="16" t="s">
        <v>399</v>
      </c>
      <c r="G3077" s="8" t="s">
        <v>1537</v>
      </c>
      <c r="H3077" s="8" t="s">
        <v>1538</v>
      </c>
      <c r="I3077" s="16" t="s">
        <v>138</v>
      </c>
      <c r="J3077" s="16">
        <v>17.44332</v>
      </c>
      <c r="K3077" s="16">
        <v>-96.622060000000005</v>
      </c>
      <c r="L3077" s="16" t="str">
        <f>HYPERLINK("https://maps.google.com/?q=17.44332,-96.62206", "🔗 Ver Mapa")</f>
        <v>🔗 Ver Mapa</v>
      </c>
    </row>
    <row r="3078" spans="1:12" ht="43.5" x14ac:dyDescent="0.35">
      <c r="A3078" s="6" t="s">
        <v>7</v>
      </c>
      <c r="B3078" s="6" t="s">
        <v>20</v>
      </c>
      <c r="C3078" s="6" t="s">
        <v>1536</v>
      </c>
      <c r="D3078" s="11" t="s">
        <v>219</v>
      </c>
      <c r="E3078" s="17" t="s">
        <v>78</v>
      </c>
      <c r="F3078" s="17" t="s">
        <v>399</v>
      </c>
      <c r="G3078" s="11" t="s">
        <v>1537</v>
      </c>
      <c r="H3078" s="11" t="s">
        <v>1538</v>
      </c>
      <c r="I3078" s="17" t="s">
        <v>138</v>
      </c>
      <c r="J3078" s="17">
        <v>17.444489999999998</v>
      </c>
      <c r="K3078" s="17">
        <v>-96.6126</v>
      </c>
      <c r="L3078" s="17" t="str">
        <f>HYPERLINK("https://maps.google.com/?q=17.44449,-96.6126", "🔗 Ver Mapa")</f>
        <v>🔗 Ver Mapa</v>
      </c>
    </row>
    <row r="3079" spans="1:12" ht="43.5" x14ac:dyDescent="0.35">
      <c r="A3079" s="5" t="s">
        <v>7</v>
      </c>
      <c r="B3079" s="5" t="s">
        <v>20</v>
      </c>
      <c r="C3079" s="5" t="s">
        <v>1536</v>
      </c>
      <c r="D3079" s="8" t="s">
        <v>219</v>
      </c>
      <c r="E3079" s="16" t="s">
        <v>78</v>
      </c>
      <c r="F3079" s="16" t="s">
        <v>399</v>
      </c>
      <c r="G3079" s="8" t="s">
        <v>1537</v>
      </c>
      <c r="H3079" s="8" t="s">
        <v>1538</v>
      </c>
      <c r="I3079" s="16" t="s">
        <v>138</v>
      </c>
      <c r="J3079" s="16">
        <v>17.445799999999998</v>
      </c>
      <c r="K3079" s="16">
        <v>-96.620630000000006</v>
      </c>
      <c r="L3079" s="16" t="str">
        <f>HYPERLINK("https://maps.google.com/?q=17.4458,-96.62063", "🔗 Ver Mapa")</f>
        <v>🔗 Ver Mapa</v>
      </c>
    </row>
    <row r="3080" spans="1:12" ht="43.5" x14ac:dyDescent="0.35">
      <c r="A3080" s="6" t="s">
        <v>7</v>
      </c>
      <c r="B3080" s="6" t="s">
        <v>20</v>
      </c>
      <c r="C3080" s="6" t="s">
        <v>1536</v>
      </c>
      <c r="D3080" s="11" t="s">
        <v>219</v>
      </c>
      <c r="E3080" s="17" t="s">
        <v>78</v>
      </c>
      <c r="F3080" s="17" t="s">
        <v>399</v>
      </c>
      <c r="G3080" s="11" t="s">
        <v>1537</v>
      </c>
      <c r="H3080" s="11" t="s">
        <v>1538</v>
      </c>
      <c r="I3080" s="17" t="s">
        <v>138</v>
      </c>
      <c r="J3080" s="17">
        <v>17.448070000000001</v>
      </c>
      <c r="K3080" s="17">
        <v>-96.630269999999996</v>
      </c>
      <c r="L3080" s="17" t="str">
        <f>HYPERLINK("https://maps.google.com/?q=17.44807,-96.63027", "🔗 Ver Mapa")</f>
        <v>🔗 Ver Mapa</v>
      </c>
    </row>
    <row r="3081" spans="1:12" ht="58" x14ac:dyDescent="0.35">
      <c r="A3081" s="5" t="s">
        <v>7</v>
      </c>
      <c r="B3081" s="5" t="s">
        <v>20</v>
      </c>
      <c r="C3081" s="5" t="s">
        <v>1539</v>
      </c>
      <c r="D3081" s="8" t="s">
        <v>67</v>
      </c>
      <c r="E3081" s="16" t="s">
        <v>79</v>
      </c>
      <c r="F3081" s="16" t="s">
        <v>91</v>
      </c>
      <c r="G3081" s="8" t="s">
        <v>1540</v>
      </c>
      <c r="H3081" s="8" t="s">
        <v>1541</v>
      </c>
      <c r="I3081" s="16" t="s">
        <v>138</v>
      </c>
      <c r="J3081" s="16">
        <v>16.733250000000002</v>
      </c>
      <c r="K3081" s="16">
        <v>-97.481229999999996</v>
      </c>
      <c r="L3081" s="16" t="str">
        <f>HYPERLINK("https://maps.google.com/?q=16.73325,-97.48123", "🔗 Ver Mapa")</f>
        <v>🔗 Ver Mapa</v>
      </c>
    </row>
    <row r="3082" spans="1:12" ht="58" x14ac:dyDescent="0.35">
      <c r="A3082" s="6" t="s">
        <v>7</v>
      </c>
      <c r="B3082" s="6" t="s">
        <v>20</v>
      </c>
      <c r="C3082" s="6" t="s">
        <v>1539</v>
      </c>
      <c r="D3082" s="11" t="s">
        <v>67</v>
      </c>
      <c r="E3082" s="17" t="s">
        <v>79</v>
      </c>
      <c r="F3082" s="17" t="s">
        <v>91</v>
      </c>
      <c r="G3082" s="11" t="s">
        <v>1540</v>
      </c>
      <c r="H3082" s="11" t="s">
        <v>1541</v>
      </c>
      <c r="I3082" s="17" t="s">
        <v>138</v>
      </c>
      <c r="J3082" s="17">
        <v>16.733469754877</v>
      </c>
      <c r="K3082" s="17">
        <v>-97.479673341104998</v>
      </c>
      <c r="L3082" s="17" t="str">
        <f>HYPERLINK("https://maps.google.com/?q=16.733469754877,-97.479673341105", "🔗 Ver Mapa")</f>
        <v>🔗 Ver Mapa</v>
      </c>
    </row>
    <row r="3083" spans="1:12" ht="58" x14ac:dyDescent="0.35">
      <c r="A3083" s="5" t="s">
        <v>7</v>
      </c>
      <c r="B3083" s="5" t="s">
        <v>20</v>
      </c>
      <c r="C3083" s="5" t="s">
        <v>1539</v>
      </c>
      <c r="D3083" s="8" t="s">
        <v>67</v>
      </c>
      <c r="E3083" s="16" t="s">
        <v>79</v>
      </c>
      <c r="F3083" s="16" t="s">
        <v>91</v>
      </c>
      <c r="G3083" s="8" t="s">
        <v>1540</v>
      </c>
      <c r="H3083" s="8" t="s">
        <v>1541</v>
      </c>
      <c r="I3083" s="16" t="s">
        <v>138</v>
      </c>
      <c r="J3083" s="16">
        <v>16.733616000000001</v>
      </c>
      <c r="K3083" s="16">
        <v>-97.478435000000005</v>
      </c>
      <c r="L3083" s="16" t="str">
        <f>HYPERLINK("https://maps.google.com/?q=16.733616,-97.478435", "🔗 Ver Mapa")</f>
        <v>🔗 Ver Mapa</v>
      </c>
    </row>
    <row r="3084" spans="1:12" ht="87" x14ac:dyDescent="0.35">
      <c r="A3084" s="6" t="s">
        <v>225</v>
      </c>
      <c r="B3084" s="6" t="s">
        <v>226</v>
      </c>
      <c r="C3084" s="6" t="s">
        <v>1542</v>
      </c>
      <c r="D3084" s="11" t="s">
        <v>69</v>
      </c>
      <c r="E3084" s="17" t="s">
        <v>78</v>
      </c>
      <c r="F3084" s="17" t="s">
        <v>90</v>
      </c>
      <c r="G3084" s="11" t="s">
        <v>1543</v>
      </c>
      <c r="H3084" s="11" t="s">
        <v>1544</v>
      </c>
      <c r="I3084" s="17" t="s">
        <v>138</v>
      </c>
      <c r="J3084" s="17">
        <v>17.043906</v>
      </c>
      <c r="K3084" s="17">
        <v>-95.848184000000003</v>
      </c>
      <c r="L3084" s="17" t="str">
        <f>HYPERLINK("https://maps.google.com/?q=17.043906,-95.848184", "🔗 Ver Mapa")</f>
        <v>🔗 Ver Mapa</v>
      </c>
    </row>
    <row r="3085" spans="1:12" ht="87" x14ac:dyDescent="0.35">
      <c r="A3085" s="5" t="s">
        <v>225</v>
      </c>
      <c r="B3085" s="5" t="s">
        <v>226</v>
      </c>
      <c r="C3085" s="5" t="s">
        <v>1542</v>
      </c>
      <c r="D3085" s="8" t="s">
        <v>69</v>
      </c>
      <c r="E3085" s="16" t="s">
        <v>78</v>
      </c>
      <c r="F3085" s="16" t="s">
        <v>90</v>
      </c>
      <c r="G3085" s="8" t="s">
        <v>1543</v>
      </c>
      <c r="H3085" s="8" t="s">
        <v>1544</v>
      </c>
      <c r="I3085" s="16" t="s">
        <v>138</v>
      </c>
      <c r="J3085" s="16">
        <v>17.046493999999999</v>
      </c>
      <c r="K3085" s="16">
        <v>-95.866770000000002</v>
      </c>
      <c r="L3085" s="16" t="str">
        <f>HYPERLINK("https://maps.google.com/?q=17.046494,-95.86677", "🔗 Ver Mapa")</f>
        <v>🔗 Ver Mapa</v>
      </c>
    </row>
    <row r="3086" spans="1:12" ht="87" x14ac:dyDescent="0.35">
      <c r="A3086" s="6" t="s">
        <v>225</v>
      </c>
      <c r="B3086" s="6" t="s">
        <v>226</v>
      </c>
      <c r="C3086" s="6" t="s">
        <v>1542</v>
      </c>
      <c r="D3086" s="11" t="s">
        <v>69</v>
      </c>
      <c r="E3086" s="17" t="s">
        <v>78</v>
      </c>
      <c r="F3086" s="17" t="s">
        <v>90</v>
      </c>
      <c r="G3086" s="11" t="s">
        <v>1543</v>
      </c>
      <c r="H3086" s="11" t="s">
        <v>1544</v>
      </c>
      <c r="I3086" s="17" t="s">
        <v>138</v>
      </c>
      <c r="J3086" s="17">
        <v>17.057558</v>
      </c>
      <c r="K3086" s="17">
        <v>-95.833808000000005</v>
      </c>
      <c r="L3086" s="17" t="str">
        <f>HYPERLINK("https://maps.google.com/?q=17.057558,-95.833808", "🔗 Ver Mapa")</f>
        <v>🔗 Ver Mapa</v>
      </c>
    </row>
    <row r="3087" spans="1:12" ht="87" x14ac:dyDescent="0.35">
      <c r="A3087" s="5" t="s">
        <v>225</v>
      </c>
      <c r="B3087" s="5" t="s">
        <v>226</v>
      </c>
      <c r="C3087" s="5" t="s">
        <v>1542</v>
      </c>
      <c r="D3087" s="8" t="s">
        <v>69</v>
      </c>
      <c r="E3087" s="16" t="s">
        <v>78</v>
      </c>
      <c r="F3087" s="16" t="s">
        <v>90</v>
      </c>
      <c r="G3087" s="8" t="s">
        <v>1543</v>
      </c>
      <c r="H3087" s="8" t="s">
        <v>1544</v>
      </c>
      <c r="I3087" s="16" t="s">
        <v>138</v>
      </c>
      <c r="J3087" s="16">
        <v>17.091425000000001</v>
      </c>
      <c r="K3087" s="16">
        <v>-95.854479999999995</v>
      </c>
      <c r="L3087" s="16" t="str">
        <f>HYPERLINK("https://maps.google.com/?q=17.091425,-95.85448", "🔗 Ver Mapa")</f>
        <v>🔗 Ver Mapa</v>
      </c>
    </row>
    <row r="3088" spans="1:12" ht="72.5" x14ac:dyDescent="0.35">
      <c r="A3088" s="6" t="s">
        <v>225</v>
      </c>
      <c r="B3088" s="6" t="s">
        <v>226</v>
      </c>
      <c r="C3088" s="6" t="s">
        <v>1545</v>
      </c>
      <c r="D3088" s="11" t="s">
        <v>69</v>
      </c>
      <c r="E3088" s="17" t="s">
        <v>73</v>
      </c>
      <c r="F3088" s="17" t="s">
        <v>83</v>
      </c>
      <c r="G3088" s="11" t="s">
        <v>1546</v>
      </c>
      <c r="H3088" s="11" t="s">
        <v>1547</v>
      </c>
      <c r="I3088" s="17" t="s">
        <v>139</v>
      </c>
      <c r="J3088" s="17">
        <v>17.020771</v>
      </c>
      <c r="K3088" s="17">
        <v>-97.630337999999995</v>
      </c>
      <c r="L3088" s="17" t="str">
        <f>HYPERLINK("https://maps.google.com/?q=17.020771,-97.630338", "🔗 Ver Mapa")</f>
        <v>🔗 Ver Mapa</v>
      </c>
    </row>
    <row r="3089" spans="1:12" ht="72.5" x14ac:dyDescent="0.35">
      <c r="A3089" s="5" t="s">
        <v>225</v>
      </c>
      <c r="B3089" s="5" t="s">
        <v>226</v>
      </c>
      <c r="C3089" s="5" t="s">
        <v>1545</v>
      </c>
      <c r="D3089" s="8" t="s">
        <v>69</v>
      </c>
      <c r="E3089" s="16" t="s">
        <v>73</v>
      </c>
      <c r="F3089" s="16" t="s">
        <v>83</v>
      </c>
      <c r="G3089" s="8" t="s">
        <v>1546</v>
      </c>
      <c r="H3089" s="8" t="s">
        <v>1547</v>
      </c>
      <c r="I3089" s="16" t="s">
        <v>138</v>
      </c>
      <c r="J3089" s="16">
        <v>17.027356000000001</v>
      </c>
      <c r="K3089" s="16">
        <v>-97.631073999999998</v>
      </c>
      <c r="L3089" s="16" t="str">
        <f>HYPERLINK("https://maps.google.com/?q=17.027356,-97.631074", "🔗 Ver Mapa")</f>
        <v>🔗 Ver Mapa</v>
      </c>
    </row>
    <row r="3090" spans="1:12" ht="72.5" x14ac:dyDescent="0.35">
      <c r="A3090" s="6" t="s">
        <v>225</v>
      </c>
      <c r="B3090" s="6" t="s">
        <v>226</v>
      </c>
      <c r="C3090" s="6" t="s">
        <v>1545</v>
      </c>
      <c r="D3090" s="11" t="s">
        <v>69</v>
      </c>
      <c r="E3090" s="17" t="s">
        <v>73</v>
      </c>
      <c r="F3090" s="17" t="s">
        <v>83</v>
      </c>
      <c r="G3090" s="11" t="s">
        <v>1546</v>
      </c>
      <c r="H3090" s="11" t="s">
        <v>1547</v>
      </c>
      <c r="I3090" s="17" t="s">
        <v>138</v>
      </c>
      <c r="J3090" s="17">
        <v>17.032485000000001</v>
      </c>
      <c r="K3090" s="17">
        <v>-97.629121999999995</v>
      </c>
      <c r="L3090" s="17" t="str">
        <f>HYPERLINK("https://maps.google.com/?q=17.032485,-97.629122", "🔗 Ver Mapa")</f>
        <v>🔗 Ver Mapa</v>
      </c>
    </row>
    <row r="3091" spans="1:12" ht="72.5" x14ac:dyDescent="0.35">
      <c r="A3091" s="5" t="s">
        <v>225</v>
      </c>
      <c r="B3091" s="5" t="s">
        <v>226</v>
      </c>
      <c r="C3091" s="5" t="s">
        <v>1548</v>
      </c>
      <c r="D3091" s="8" t="s">
        <v>69</v>
      </c>
      <c r="E3091" s="16" t="s">
        <v>74</v>
      </c>
      <c r="F3091" s="16" t="s">
        <v>453</v>
      </c>
      <c r="G3091" s="8" t="s">
        <v>521</v>
      </c>
      <c r="H3091" s="8" t="s">
        <v>1549</v>
      </c>
      <c r="I3091" s="16" t="s">
        <v>138</v>
      </c>
      <c r="J3091" s="16">
        <v>16.257594999999998</v>
      </c>
      <c r="K3091" s="16">
        <v>-97.219075000000004</v>
      </c>
      <c r="L3091" s="16" t="str">
        <f>HYPERLINK("https://maps.google.com/?q=16.257595,-97.219075", "🔗 Ver Mapa")</f>
        <v>🔗 Ver Mapa</v>
      </c>
    </row>
    <row r="3092" spans="1:12" ht="72.5" x14ac:dyDescent="0.35">
      <c r="A3092" s="6" t="s">
        <v>225</v>
      </c>
      <c r="B3092" s="6" t="s">
        <v>226</v>
      </c>
      <c r="C3092" s="6" t="s">
        <v>1548</v>
      </c>
      <c r="D3092" s="11" t="s">
        <v>69</v>
      </c>
      <c r="E3092" s="17" t="s">
        <v>74</v>
      </c>
      <c r="F3092" s="17" t="s">
        <v>453</v>
      </c>
      <c r="G3092" s="11" t="s">
        <v>521</v>
      </c>
      <c r="H3092" s="11" t="s">
        <v>1549</v>
      </c>
      <c r="I3092" s="17" t="s">
        <v>138</v>
      </c>
      <c r="J3092" s="17">
        <v>16.258821000000001</v>
      </c>
      <c r="K3092" s="17">
        <v>-97.216398999999996</v>
      </c>
      <c r="L3092" s="17" t="str">
        <f>HYPERLINK("https://maps.google.com/?q=16.258821,-97.216399", "🔗 Ver Mapa")</f>
        <v>🔗 Ver Mapa</v>
      </c>
    </row>
    <row r="3093" spans="1:12" ht="72.5" x14ac:dyDescent="0.35">
      <c r="A3093" s="5" t="s">
        <v>225</v>
      </c>
      <c r="B3093" s="5" t="s">
        <v>226</v>
      </c>
      <c r="C3093" s="5" t="s">
        <v>1548</v>
      </c>
      <c r="D3093" s="8" t="s">
        <v>69</v>
      </c>
      <c r="E3093" s="16" t="s">
        <v>74</v>
      </c>
      <c r="F3093" s="16" t="s">
        <v>453</v>
      </c>
      <c r="G3093" s="8" t="s">
        <v>521</v>
      </c>
      <c r="H3093" s="8" t="s">
        <v>1549</v>
      </c>
      <c r="I3093" s="16" t="s">
        <v>138</v>
      </c>
      <c r="J3093" s="16">
        <v>16.2593</v>
      </c>
      <c r="K3093" s="16">
        <v>-97.213100999999995</v>
      </c>
      <c r="L3093" s="16" t="str">
        <f>HYPERLINK("https://maps.google.com/?q=16.2593,-97.213101", "🔗 Ver Mapa")</f>
        <v>🔗 Ver Mapa</v>
      </c>
    </row>
    <row r="3094" spans="1:12" ht="72.5" x14ac:dyDescent="0.35">
      <c r="A3094" s="6" t="s">
        <v>225</v>
      </c>
      <c r="B3094" s="6" t="s">
        <v>226</v>
      </c>
      <c r="C3094" s="6" t="s">
        <v>1550</v>
      </c>
      <c r="D3094" s="11" t="s">
        <v>69</v>
      </c>
      <c r="E3094" s="17" t="s">
        <v>74</v>
      </c>
      <c r="F3094" s="17" t="s">
        <v>453</v>
      </c>
      <c r="G3094" s="11" t="s">
        <v>1259</v>
      </c>
      <c r="H3094" s="11" t="s">
        <v>1551</v>
      </c>
      <c r="I3094" s="17" t="s">
        <v>138</v>
      </c>
      <c r="J3094" s="17">
        <v>16.060164</v>
      </c>
      <c r="K3094" s="17">
        <v>-97.735166000000007</v>
      </c>
      <c r="L3094" s="17" t="str">
        <f>HYPERLINK("https://maps.google.com/?q=16.060164,-97.735166", "🔗 Ver Mapa")</f>
        <v>🔗 Ver Mapa</v>
      </c>
    </row>
    <row r="3095" spans="1:12" ht="72.5" x14ac:dyDescent="0.35">
      <c r="A3095" s="5" t="s">
        <v>225</v>
      </c>
      <c r="B3095" s="5" t="s">
        <v>226</v>
      </c>
      <c r="C3095" s="5" t="s">
        <v>1550</v>
      </c>
      <c r="D3095" s="8" t="s">
        <v>69</v>
      </c>
      <c r="E3095" s="16" t="s">
        <v>74</v>
      </c>
      <c r="F3095" s="16" t="s">
        <v>453</v>
      </c>
      <c r="G3095" s="8" t="s">
        <v>1259</v>
      </c>
      <c r="H3095" s="8" t="s">
        <v>1551</v>
      </c>
      <c r="I3095" s="16" t="s">
        <v>138</v>
      </c>
      <c r="J3095" s="16">
        <v>16.064914999999999</v>
      </c>
      <c r="K3095" s="16">
        <v>-97.730636000000004</v>
      </c>
      <c r="L3095" s="16" t="str">
        <f>HYPERLINK("https://maps.google.com/?q=16.064915,-97.730636", "🔗 Ver Mapa")</f>
        <v>🔗 Ver Mapa</v>
      </c>
    </row>
    <row r="3096" spans="1:12" ht="72.5" x14ac:dyDescent="0.35">
      <c r="A3096" s="6" t="s">
        <v>225</v>
      </c>
      <c r="B3096" s="6" t="s">
        <v>226</v>
      </c>
      <c r="C3096" s="6" t="s">
        <v>1550</v>
      </c>
      <c r="D3096" s="11" t="s">
        <v>69</v>
      </c>
      <c r="E3096" s="17" t="s">
        <v>74</v>
      </c>
      <c r="F3096" s="17" t="s">
        <v>453</v>
      </c>
      <c r="G3096" s="11" t="s">
        <v>1259</v>
      </c>
      <c r="H3096" s="11" t="s">
        <v>1551</v>
      </c>
      <c r="I3096" s="17" t="s">
        <v>138</v>
      </c>
      <c r="J3096" s="17">
        <v>16.069467</v>
      </c>
      <c r="K3096" s="17">
        <v>-97.725828000000007</v>
      </c>
      <c r="L3096" s="17" t="str">
        <f>HYPERLINK("https://maps.google.com/?q=16.069467,-97.725828", "🔗 Ver Mapa")</f>
        <v>🔗 Ver Mapa</v>
      </c>
    </row>
    <row r="3097" spans="1:12" ht="72.5" x14ac:dyDescent="0.35">
      <c r="A3097" s="5" t="s">
        <v>225</v>
      </c>
      <c r="B3097" s="5" t="s">
        <v>226</v>
      </c>
      <c r="C3097" s="5" t="s">
        <v>1552</v>
      </c>
      <c r="D3097" s="8" t="s">
        <v>69</v>
      </c>
      <c r="E3097" s="16" t="s">
        <v>74</v>
      </c>
      <c r="F3097" s="16" t="s">
        <v>453</v>
      </c>
      <c r="G3097" s="8" t="s">
        <v>1007</v>
      </c>
      <c r="H3097" s="8" t="s">
        <v>1553</v>
      </c>
      <c r="I3097" s="16" t="s">
        <v>138</v>
      </c>
      <c r="J3097" s="16">
        <v>16.306671999999999</v>
      </c>
      <c r="K3097" s="16">
        <v>-97.563481999999993</v>
      </c>
      <c r="L3097" s="16" t="str">
        <f>HYPERLINK("https://maps.google.com/?q=16.306672,-97.563482", "🔗 Ver Mapa")</f>
        <v>🔗 Ver Mapa</v>
      </c>
    </row>
    <row r="3098" spans="1:12" ht="72.5" x14ac:dyDescent="0.35">
      <c r="A3098" s="6" t="s">
        <v>225</v>
      </c>
      <c r="B3098" s="6" t="s">
        <v>226</v>
      </c>
      <c r="C3098" s="6" t="s">
        <v>1552</v>
      </c>
      <c r="D3098" s="11" t="s">
        <v>69</v>
      </c>
      <c r="E3098" s="17" t="s">
        <v>74</v>
      </c>
      <c r="F3098" s="17" t="s">
        <v>453</v>
      </c>
      <c r="G3098" s="11" t="s">
        <v>1007</v>
      </c>
      <c r="H3098" s="11" t="s">
        <v>1553</v>
      </c>
      <c r="I3098" s="17" t="s">
        <v>138</v>
      </c>
      <c r="J3098" s="17">
        <v>16.306673</v>
      </c>
      <c r="K3098" s="17">
        <v>-97.567914999999999</v>
      </c>
      <c r="L3098" s="17" t="str">
        <f>HYPERLINK("https://maps.google.com/?q=16.306673,-97.567915", "🔗 Ver Mapa")</f>
        <v>🔗 Ver Mapa</v>
      </c>
    </row>
    <row r="3099" spans="1:12" ht="72.5" x14ac:dyDescent="0.35">
      <c r="A3099" s="5" t="s">
        <v>225</v>
      </c>
      <c r="B3099" s="5" t="s">
        <v>226</v>
      </c>
      <c r="C3099" s="5" t="s">
        <v>1552</v>
      </c>
      <c r="D3099" s="8" t="s">
        <v>69</v>
      </c>
      <c r="E3099" s="16" t="s">
        <v>74</v>
      </c>
      <c r="F3099" s="16" t="s">
        <v>453</v>
      </c>
      <c r="G3099" s="8" t="s">
        <v>1007</v>
      </c>
      <c r="H3099" s="8" t="s">
        <v>1553</v>
      </c>
      <c r="I3099" s="16" t="s">
        <v>138</v>
      </c>
      <c r="J3099" s="16">
        <v>16.308377</v>
      </c>
      <c r="K3099" s="16">
        <v>-97.558615000000003</v>
      </c>
      <c r="L3099" s="16" t="str">
        <f>HYPERLINK("https://maps.google.com/?q=16.308377,-97.558615", "🔗 Ver Mapa")</f>
        <v>🔗 Ver Mapa</v>
      </c>
    </row>
    <row r="3100" spans="1:12" ht="72.5" x14ac:dyDescent="0.35">
      <c r="A3100" s="6" t="s">
        <v>225</v>
      </c>
      <c r="B3100" s="6" t="s">
        <v>226</v>
      </c>
      <c r="C3100" s="6" t="s">
        <v>1554</v>
      </c>
      <c r="D3100" s="11" t="s">
        <v>69</v>
      </c>
      <c r="E3100" s="17" t="s">
        <v>74</v>
      </c>
      <c r="F3100" s="17" t="s">
        <v>82</v>
      </c>
      <c r="G3100" s="11" t="s">
        <v>230</v>
      </c>
      <c r="H3100" s="11" t="s">
        <v>1555</v>
      </c>
      <c r="I3100" s="17" t="s">
        <v>138</v>
      </c>
      <c r="J3100" s="17">
        <v>16.137775999999999</v>
      </c>
      <c r="K3100" s="17">
        <v>-97.754429999999999</v>
      </c>
      <c r="L3100" s="17" t="str">
        <f>HYPERLINK("https://maps.google.com/?q=16.137776,-97.75443", "🔗 Ver Mapa")</f>
        <v>🔗 Ver Mapa</v>
      </c>
    </row>
    <row r="3101" spans="1:12" ht="72.5" x14ac:dyDescent="0.35">
      <c r="A3101" s="5" t="s">
        <v>225</v>
      </c>
      <c r="B3101" s="5" t="s">
        <v>226</v>
      </c>
      <c r="C3101" s="5" t="s">
        <v>1554</v>
      </c>
      <c r="D3101" s="8" t="s">
        <v>69</v>
      </c>
      <c r="E3101" s="16" t="s">
        <v>74</v>
      </c>
      <c r="F3101" s="16" t="s">
        <v>82</v>
      </c>
      <c r="G3101" s="8" t="s">
        <v>230</v>
      </c>
      <c r="H3101" s="8" t="s">
        <v>1555</v>
      </c>
      <c r="I3101" s="16" t="s">
        <v>138</v>
      </c>
      <c r="J3101" s="16">
        <v>16.155069999999998</v>
      </c>
      <c r="K3101" s="16">
        <v>-97.756240000000005</v>
      </c>
      <c r="L3101" s="16" t="str">
        <f>HYPERLINK("https://maps.google.com/?q=16.15507,-97.75624", "🔗 Ver Mapa")</f>
        <v>🔗 Ver Mapa</v>
      </c>
    </row>
    <row r="3102" spans="1:12" ht="72.5" x14ac:dyDescent="0.35">
      <c r="A3102" s="6" t="s">
        <v>225</v>
      </c>
      <c r="B3102" s="6" t="s">
        <v>226</v>
      </c>
      <c r="C3102" s="6" t="s">
        <v>1554</v>
      </c>
      <c r="D3102" s="11" t="s">
        <v>69</v>
      </c>
      <c r="E3102" s="17" t="s">
        <v>74</v>
      </c>
      <c r="F3102" s="17" t="s">
        <v>82</v>
      </c>
      <c r="G3102" s="11" t="s">
        <v>230</v>
      </c>
      <c r="H3102" s="11" t="s">
        <v>1555</v>
      </c>
      <c r="I3102" s="17" t="s">
        <v>138</v>
      </c>
      <c r="J3102" s="17">
        <v>16.167301999999999</v>
      </c>
      <c r="K3102" s="17">
        <v>-97.750022999999999</v>
      </c>
      <c r="L3102" s="17" t="str">
        <f>HYPERLINK("https://maps.google.com/?q=16.167302,-97.750023", "🔗 Ver Mapa")</f>
        <v>🔗 Ver Mapa</v>
      </c>
    </row>
    <row r="3103" spans="1:12" ht="72.5" x14ac:dyDescent="0.35">
      <c r="A3103" s="5" t="s">
        <v>225</v>
      </c>
      <c r="B3103" s="5" t="s">
        <v>226</v>
      </c>
      <c r="C3103" s="5" t="s">
        <v>1556</v>
      </c>
      <c r="D3103" s="8" t="s">
        <v>69</v>
      </c>
      <c r="E3103" s="16" t="s">
        <v>74</v>
      </c>
      <c r="F3103" s="16" t="s">
        <v>89</v>
      </c>
      <c r="G3103" s="8" t="s">
        <v>1519</v>
      </c>
      <c r="H3103" s="8" t="s">
        <v>1557</v>
      </c>
      <c r="I3103" s="16" t="s">
        <v>138</v>
      </c>
      <c r="J3103" s="16">
        <v>15.958691</v>
      </c>
      <c r="K3103" s="16">
        <v>-96.710948000000002</v>
      </c>
      <c r="L3103" s="16" t="str">
        <f>HYPERLINK("https://maps.google.com/?q=15.958691,-96.710948", "🔗 Ver Mapa")</f>
        <v>🔗 Ver Mapa</v>
      </c>
    </row>
    <row r="3104" spans="1:12" ht="72.5" x14ac:dyDescent="0.35">
      <c r="A3104" s="6" t="s">
        <v>225</v>
      </c>
      <c r="B3104" s="6" t="s">
        <v>226</v>
      </c>
      <c r="C3104" s="6" t="s">
        <v>1556</v>
      </c>
      <c r="D3104" s="11" t="s">
        <v>69</v>
      </c>
      <c r="E3104" s="17" t="s">
        <v>74</v>
      </c>
      <c r="F3104" s="17" t="s">
        <v>89</v>
      </c>
      <c r="G3104" s="11" t="s">
        <v>1519</v>
      </c>
      <c r="H3104" s="11" t="s">
        <v>1557</v>
      </c>
      <c r="I3104" s="17" t="s">
        <v>138</v>
      </c>
      <c r="J3104" s="17">
        <v>15.962752</v>
      </c>
      <c r="K3104" s="17">
        <v>-96.709266999999997</v>
      </c>
      <c r="L3104" s="17" t="str">
        <f>HYPERLINK("https://maps.google.com/?q=15.962752,-96.709267", "🔗 Ver Mapa")</f>
        <v>🔗 Ver Mapa</v>
      </c>
    </row>
    <row r="3105" spans="1:12" ht="72.5" x14ac:dyDescent="0.35">
      <c r="A3105" s="5" t="s">
        <v>225</v>
      </c>
      <c r="B3105" s="5" t="s">
        <v>226</v>
      </c>
      <c r="C3105" s="5" t="s">
        <v>1556</v>
      </c>
      <c r="D3105" s="8" t="s">
        <v>69</v>
      </c>
      <c r="E3105" s="16" t="s">
        <v>74</v>
      </c>
      <c r="F3105" s="16" t="s">
        <v>89</v>
      </c>
      <c r="G3105" s="8" t="s">
        <v>1519</v>
      </c>
      <c r="H3105" s="8" t="s">
        <v>1557</v>
      </c>
      <c r="I3105" s="16" t="s">
        <v>138</v>
      </c>
      <c r="J3105" s="16">
        <v>15.967473999999999</v>
      </c>
      <c r="K3105" s="16">
        <v>-96.707768999999999</v>
      </c>
      <c r="L3105" s="16" t="str">
        <f>HYPERLINK("https://maps.google.com/?q=15.967474,-96.707769", "🔗 Ver Mapa")</f>
        <v>🔗 Ver Mapa</v>
      </c>
    </row>
    <row r="3106" spans="1:12" ht="43.5" x14ac:dyDescent="0.35">
      <c r="A3106" s="6" t="s">
        <v>4</v>
      </c>
      <c r="B3106" s="6" t="s">
        <v>17</v>
      </c>
      <c r="C3106" s="6" t="s">
        <v>1558</v>
      </c>
      <c r="D3106" s="11" t="s">
        <v>64</v>
      </c>
      <c r="E3106" s="17" t="s">
        <v>164</v>
      </c>
      <c r="F3106" s="17" t="s">
        <v>165</v>
      </c>
      <c r="G3106" s="11" t="s">
        <v>264</v>
      </c>
      <c r="H3106" s="11" t="s">
        <v>1559</v>
      </c>
      <c r="I3106" s="17" t="s">
        <v>296</v>
      </c>
      <c r="J3106" s="17">
        <v>17.969906999999999</v>
      </c>
      <c r="K3106" s="17">
        <v>-96.69171</v>
      </c>
      <c r="L3106" s="17" t="str">
        <f>HYPERLINK("https://maps.google.com/?q=17.969907,-96.69171", "🔗 Ver Mapa")</f>
        <v>🔗 Ver Mapa</v>
      </c>
    </row>
    <row r="3107" spans="1:12" ht="43.5" x14ac:dyDescent="0.35">
      <c r="A3107" s="5" t="s">
        <v>4</v>
      </c>
      <c r="B3107" s="5" t="s">
        <v>17</v>
      </c>
      <c r="C3107" s="5" t="s">
        <v>1558</v>
      </c>
      <c r="D3107" s="8" t="s">
        <v>64</v>
      </c>
      <c r="E3107" s="16" t="s">
        <v>164</v>
      </c>
      <c r="F3107" s="16" t="s">
        <v>165</v>
      </c>
      <c r="G3107" s="8" t="s">
        <v>264</v>
      </c>
      <c r="H3107" s="8" t="s">
        <v>1559</v>
      </c>
      <c r="I3107" s="16" t="s">
        <v>296</v>
      </c>
      <c r="J3107" s="16">
        <v>17.969968000000001</v>
      </c>
      <c r="K3107" s="16">
        <v>-96.691491999999997</v>
      </c>
      <c r="L3107" s="16" t="str">
        <f>HYPERLINK("https://maps.google.com/?q=17.969968,-96.691492", "🔗 Ver Mapa")</f>
        <v>🔗 Ver Mapa</v>
      </c>
    </row>
    <row r="3108" spans="1:12" ht="43.5" x14ac:dyDescent="0.35">
      <c r="A3108" s="6" t="s">
        <v>4</v>
      </c>
      <c r="B3108" s="6" t="s">
        <v>17</v>
      </c>
      <c r="C3108" s="6" t="s">
        <v>1558</v>
      </c>
      <c r="D3108" s="11" t="s">
        <v>64</v>
      </c>
      <c r="E3108" s="17" t="s">
        <v>164</v>
      </c>
      <c r="F3108" s="17" t="s">
        <v>165</v>
      </c>
      <c r="G3108" s="11" t="s">
        <v>264</v>
      </c>
      <c r="H3108" s="11" t="s">
        <v>1559</v>
      </c>
      <c r="I3108" s="17" t="s">
        <v>296</v>
      </c>
      <c r="J3108" s="17">
        <v>17.970009999999998</v>
      </c>
      <c r="K3108" s="17">
        <v>-96.6905</v>
      </c>
      <c r="L3108" s="17" t="str">
        <f>HYPERLINK("https://maps.google.com/?q=17.97001,-96.6905", "🔗 Ver Mapa")</f>
        <v>🔗 Ver Mapa</v>
      </c>
    </row>
    <row r="3109" spans="1:12" ht="43.5" x14ac:dyDescent="0.35">
      <c r="A3109" s="5" t="s">
        <v>4</v>
      </c>
      <c r="B3109" s="5" t="s">
        <v>17</v>
      </c>
      <c r="C3109" s="5" t="s">
        <v>1558</v>
      </c>
      <c r="D3109" s="8" t="s">
        <v>64</v>
      </c>
      <c r="E3109" s="16" t="s">
        <v>164</v>
      </c>
      <c r="F3109" s="16" t="s">
        <v>165</v>
      </c>
      <c r="G3109" s="8" t="s">
        <v>264</v>
      </c>
      <c r="H3109" s="8" t="s">
        <v>1559</v>
      </c>
      <c r="I3109" s="16" t="s">
        <v>296</v>
      </c>
      <c r="J3109" s="16">
        <v>17.970085000000001</v>
      </c>
      <c r="K3109" s="16">
        <v>-96.690725999999998</v>
      </c>
      <c r="L3109" s="16" t="str">
        <f>HYPERLINK("https://maps.google.com/?q=17.970085,-96.690726", "🔗 Ver Mapa")</f>
        <v>🔗 Ver Mapa</v>
      </c>
    </row>
    <row r="3110" spans="1:12" ht="43.5" x14ac:dyDescent="0.35">
      <c r="A3110" s="6" t="s">
        <v>4</v>
      </c>
      <c r="B3110" s="6" t="s">
        <v>17</v>
      </c>
      <c r="C3110" s="6" t="s">
        <v>1558</v>
      </c>
      <c r="D3110" s="11" t="s">
        <v>64</v>
      </c>
      <c r="E3110" s="17" t="s">
        <v>164</v>
      </c>
      <c r="F3110" s="17" t="s">
        <v>165</v>
      </c>
      <c r="G3110" s="11" t="s">
        <v>264</v>
      </c>
      <c r="H3110" s="11" t="s">
        <v>1559</v>
      </c>
      <c r="I3110" s="17" t="s">
        <v>296</v>
      </c>
      <c r="J3110" s="17">
        <v>17.970133000000001</v>
      </c>
      <c r="K3110" s="17">
        <v>-96.690979999999996</v>
      </c>
      <c r="L3110" s="17" t="str">
        <f>HYPERLINK("https://maps.google.com/?q=17.970133,-96.69098", "🔗 Ver Mapa")</f>
        <v>🔗 Ver Mapa</v>
      </c>
    </row>
    <row r="3111" spans="1:12" ht="43.5" x14ac:dyDescent="0.35">
      <c r="A3111" s="5" t="s">
        <v>4</v>
      </c>
      <c r="B3111" s="5" t="s">
        <v>17</v>
      </c>
      <c r="C3111" s="5" t="s">
        <v>1558</v>
      </c>
      <c r="D3111" s="8" t="s">
        <v>64</v>
      </c>
      <c r="E3111" s="16" t="s">
        <v>164</v>
      </c>
      <c r="F3111" s="16" t="s">
        <v>165</v>
      </c>
      <c r="G3111" s="8" t="s">
        <v>264</v>
      </c>
      <c r="H3111" s="8" t="s">
        <v>1559</v>
      </c>
      <c r="I3111" s="16" t="s">
        <v>296</v>
      </c>
      <c r="J3111" s="16">
        <v>17.970147000000001</v>
      </c>
      <c r="K3111" s="16">
        <v>-96.691404000000006</v>
      </c>
      <c r="L3111" s="16" t="str">
        <f>HYPERLINK("https://maps.google.com/?q=17.970147,-96.691404", "🔗 Ver Mapa")</f>
        <v>🔗 Ver Mapa</v>
      </c>
    </row>
    <row r="3112" spans="1:12" ht="43.5" x14ac:dyDescent="0.35">
      <c r="A3112" s="6" t="s">
        <v>4</v>
      </c>
      <c r="B3112" s="6" t="s">
        <v>17</v>
      </c>
      <c r="C3112" s="6" t="s">
        <v>1558</v>
      </c>
      <c r="D3112" s="11" t="s">
        <v>64</v>
      </c>
      <c r="E3112" s="17" t="s">
        <v>164</v>
      </c>
      <c r="F3112" s="17" t="s">
        <v>165</v>
      </c>
      <c r="G3112" s="11" t="s">
        <v>264</v>
      </c>
      <c r="H3112" s="11" t="s">
        <v>1559</v>
      </c>
      <c r="I3112" s="17" t="s">
        <v>296</v>
      </c>
      <c r="J3112" s="17">
        <v>17.970236</v>
      </c>
      <c r="K3112" s="17">
        <v>-96.691243</v>
      </c>
      <c r="L3112" s="17" t="str">
        <f>HYPERLINK("https://maps.google.com/?q=17.970236,-96.691243", "🔗 Ver Mapa")</f>
        <v>🔗 Ver Mapa</v>
      </c>
    </row>
    <row r="3113" spans="1:12" ht="43.5" x14ac:dyDescent="0.35">
      <c r="A3113" s="5" t="s">
        <v>4</v>
      </c>
      <c r="B3113" s="5" t="s">
        <v>17</v>
      </c>
      <c r="C3113" s="5" t="s">
        <v>1558</v>
      </c>
      <c r="D3113" s="8" t="s">
        <v>64</v>
      </c>
      <c r="E3113" s="16" t="s">
        <v>164</v>
      </c>
      <c r="F3113" s="16" t="s">
        <v>165</v>
      </c>
      <c r="G3113" s="8" t="s">
        <v>264</v>
      </c>
      <c r="H3113" s="8" t="s">
        <v>1559</v>
      </c>
      <c r="I3113" s="16" t="s">
        <v>296</v>
      </c>
      <c r="J3113" s="16">
        <v>17.970344999999998</v>
      </c>
      <c r="K3113" s="16">
        <v>-96.689768999999998</v>
      </c>
      <c r="L3113" s="16" t="str">
        <f>HYPERLINK("https://maps.google.com/?q=17.970345,-96.689769", "🔗 Ver Mapa")</f>
        <v>🔗 Ver Mapa</v>
      </c>
    </row>
    <row r="3114" spans="1:12" ht="43.5" x14ac:dyDescent="0.35">
      <c r="A3114" s="6" t="s">
        <v>4</v>
      </c>
      <c r="B3114" s="6" t="s">
        <v>17</v>
      </c>
      <c r="C3114" s="6" t="s">
        <v>1558</v>
      </c>
      <c r="D3114" s="11" t="s">
        <v>64</v>
      </c>
      <c r="E3114" s="17" t="s">
        <v>164</v>
      </c>
      <c r="F3114" s="17" t="s">
        <v>165</v>
      </c>
      <c r="G3114" s="11" t="s">
        <v>264</v>
      </c>
      <c r="H3114" s="11" t="s">
        <v>1559</v>
      </c>
      <c r="I3114" s="17" t="s">
        <v>296</v>
      </c>
      <c r="J3114" s="17">
        <v>17.970396999999998</v>
      </c>
      <c r="K3114" s="17">
        <v>-96.688079000000002</v>
      </c>
      <c r="L3114" s="17" t="str">
        <f>HYPERLINK("https://maps.google.com/?q=17.970397,-96.688079", "🔗 Ver Mapa")</f>
        <v>🔗 Ver Mapa</v>
      </c>
    </row>
    <row r="3115" spans="1:12" ht="43.5" x14ac:dyDescent="0.35">
      <c r="A3115" s="5" t="s">
        <v>4</v>
      </c>
      <c r="B3115" s="5" t="s">
        <v>17</v>
      </c>
      <c r="C3115" s="5" t="s">
        <v>1558</v>
      </c>
      <c r="D3115" s="8" t="s">
        <v>64</v>
      </c>
      <c r="E3115" s="16" t="s">
        <v>164</v>
      </c>
      <c r="F3115" s="16" t="s">
        <v>165</v>
      </c>
      <c r="G3115" s="8" t="s">
        <v>264</v>
      </c>
      <c r="H3115" s="8" t="s">
        <v>1559</v>
      </c>
      <c r="I3115" s="16" t="s">
        <v>296</v>
      </c>
      <c r="J3115" s="16">
        <v>17.970616</v>
      </c>
      <c r="K3115" s="16">
        <v>-96.688254999999998</v>
      </c>
      <c r="L3115" s="16" t="str">
        <f>HYPERLINK("https://maps.google.com/?q=17.970616,-96.688255", "🔗 Ver Mapa")</f>
        <v>🔗 Ver Mapa</v>
      </c>
    </row>
    <row r="3116" spans="1:12" ht="43.5" x14ac:dyDescent="0.35">
      <c r="A3116" s="6" t="s">
        <v>4</v>
      </c>
      <c r="B3116" s="6" t="s">
        <v>17</v>
      </c>
      <c r="C3116" s="6" t="s">
        <v>1558</v>
      </c>
      <c r="D3116" s="11" t="s">
        <v>64</v>
      </c>
      <c r="E3116" s="17" t="s">
        <v>164</v>
      </c>
      <c r="F3116" s="17" t="s">
        <v>165</v>
      </c>
      <c r="G3116" s="11" t="s">
        <v>264</v>
      </c>
      <c r="H3116" s="11" t="s">
        <v>1559</v>
      </c>
      <c r="I3116" s="17" t="s">
        <v>296</v>
      </c>
      <c r="J3116" s="17">
        <v>17.970656000000002</v>
      </c>
      <c r="K3116" s="17">
        <v>-96.688575999999998</v>
      </c>
      <c r="L3116" s="17" t="str">
        <f>HYPERLINK("https://maps.google.com/?q=17.970656,-96.688576", "🔗 Ver Mapa")</f>
        <v>🔗 Ver Mapa</v>
      </c>
    </row>
    <row r="3117" spans="1:12" ht="43.5" x14ac:dyDescent="0.35">
      <c r="A3117" s="5" t="s">
        <v>4</v>
      </c>
      <c r="B3117" s="5" t="s">
        <v>17</v>
      </c>
      <c r="C3117" s="5" t="s">
        <v>1558</v>
      </c>
      <c r="D3117" s="8" t="s">
        <v>64</v>
      </c>
      <c r="E3117" s="16" t="s">
        <v>164</v>
      </c>
      <c r="F3117" s="16" t="s">
        <v>165</v>
      </c>
      <c r="G3117" s="8" t="s">
        <v>264</v>
      </c>
      <c r="H3117" s="8" t="s">
        <v>1559</v>
      </c>
      <c r="I3117" s="16" t="s">
        <v>296</v>
      </c>
      <c r="J3117" s="16">
        <v>17.970680000000002</v>
      </c>
      <c r="K3117" s="16">
        <v>-96.689122999999995</v>
      </c>
      <c r="L3117" s="16" t="str">
        <f>HYPERLINK("https://maps.google.com/?q=17.97068,-96.689123", "🔗 Ver Mapa")</f>
        <v>🔗 Ver Mapa</v>
      </c>
    </row>
    <row r="3118" spans="1:12" ht="43.5" x14ac:dyDescent="0.35">
      <c r="A3118" s="6" t="s">
        <v>4</v>
      </c>
      <c r="B3118" s="6" t="s">
        <v>17</v>
      </c>
      <c r="C3118" s="6" t="s">
        <v>1558</v>
      </c>
      <c r="D3118" s="11" t="s">
        <v>64</v>
      </c>
      <c r="E3118" s="17" t="s">
        <v>164</v>
      </c>
      <c r="F3118" s="17" t="s">
        <v>165</v>
      </c>
      <c r="G3118" s="11" t="s">
        <v>264</v>
      </c>
      <c r="H3118" s="11" t="s">
        <v>1559</v>
      </c>
      <c r="I3118" s="17" t="s">
        <v>296</v>
      </c>
      <c r="J3118" s="17">
        <v>17.970776000000001</v>
      </c>
      <c r="K3118" s="17">
        <v>-96.688790999999995</v>
      </c>
      <c r="L3118" s="17" t="str">
        <f>HYPERLINK("https://maps.google.com/?q=17.970776,-96.688791", "🔗 Ver Mapa")</f>
        <v>🔗 Ver Mapa</v>
      </c>
    </row>
    <row r="3119" spans="1:12" ht="43.5" x14ac:dyDescent="0.35">
      <c r="A3119" s="5" t="s">
        <v>4</v>
      </c>
      <c r="B3119" s="5" t="s">
        <v>17</v>
      </c>
      <c r="C3119" s="5" t="s">
        <v>1558</v>
      </c>
      <c r="D3119" s="8" t="s">
        <v>64</v>
      </c>
      <c r="E3119" s="16" t="s">
        <v>164</v>
      </c>
      <c r="F3119" s="16" t="s">
        <v>165</v>
      </c>
      <c r="G3119" s="8" t="s">
        <v>264</v>
      </c>
      <c r="H3119" s="8" t="s">
        <v>1559</v>
      </c>
      <c r="I3119" s="16" t="s">
        <v>296</v>
      </c>
      <c r="J3119" s="16">
        <v>17.974148</v>
      </c>
      <c r="K3119" s="16">
        <v>-96.704263999999995</v>
      </c>
      <c r="L3119" s="16" t="str">
        <f>HYPERLINK("https://maps.google.com/?q=17.974148,-96.704264", "🔗 Ver Mapa")</f>
        <v>🔗 Ver Mapa</v>
      </c>
    </row>
    <row r="3120" spans="1:12" ht="43.5" x14ac:dyDescent="0.35">
      <c r="A3120" s="6" t="s">
        <v>4</v>
      </c>
      <c r="B3120" s="6" t="s">
        <v>17</v>
      </c>
      <c r="C3120" s="6" t="s">
        <v>1558</v>
      </c>
      <c r="D3120" s="11" t="s">
        <v>64</v>
      </c>
      <c r="E3120" s="17" t="s">
        <v>164</v>
      </c>
      <c r="F3120" s="17" t="s">
        <v>165</v>
      </c>
      <c r="G3120" s="11" t="s">
        <v>264</v>
      </c>
      <c r="H3120" s="11" t="s">
        <v>1559</v>
      </c>
      <c r="I3120" s="17" t="s">
        <v>296</v>
      </c>
      <c r="J3120" s="17">
        <v>17.974367000000001</v>
      </c>
      <c r="K3120" s="17">
        <v>-96.705941999999993</v>
      </c>
      <c r="L3120" s="17" t="str">
        <f>HYPERLINK("https://maps.google.com/?q=17.974367,-96.705942", "🔗 Ver Mapa")</f>
        <v>🔗 Ver Mapa</v>
      </c>
    </row>
    <row r="3121" spans="1:12" ht="43.5" x14ac:dyDescent="0.35">
      <c r="A3121" s="5" t="s">
        <v>4</v>
      </c>
      <c r="B3121" s="5" t="s">
        <v>17</v>
      </c>
      <c r="C3121" s="5" t="s">
        <v>1558</v>
      </c>
      <c r="D3121" s="8" t="s">
        <v>64</v>
      </c>
      <c r="E3121" s="16" t="s">
        <v>164</v>
      </c>
      <c r="F3121" s="16" t="s">
        <v>165</v>
      </c>
      <c r="G3121" s="8" t="s">
        <v>264</v>
      </c>
      <c r="H3121" s="8" t="s">
        <v>1559</v>
      </c>
      <c r="I3121" s="16" t="s">
        <v>296</v>
      </c>
      <c r="J3121" s="16">
        <v>17.974457000000001</v>
      </c>
      <c r="K3121" s="16">
        <v>-96.705978000000002</v>
      </c>
      <c r="L3121" s="16" t="str">
        <f>HYPERLINK("https://maps.google.com/?q=17.974457,-96.705978", "🔗 Ver Mapa")</f>
        <v>🔗 Ver Mapa</v>
      </c>
    </row>
    <row r="3122" spans="1:12" ht="43.5" x14ac:dyDescent="0.35">
      <c r="A3122" s="6" t="s">
        <v>4</v>
      </c>
      <c r="B3122" s="6" t="s">
        <v>17</v>
      </c>
      <c r="C3122" s="6" t="s">
        <v>1558</v>
      </c>
      <c r="D3122" s="11" t="s">
        <v>64</v>
      </c>
      <c r="E3122" s="17" t="s">
        <v>164</v>
      </c>
      <c r="F3122" s="17" t="s">
        <v>165</v>
      </c>
      <c r="G3122" s="11" t="s">
        <v>264</v>
      </c>
      <c r="H3122" s="11" t="s">
        <v>1559</v>
      </c>
      <c r="I3122" s="17" t="s">
        <v>296</v>
      </c>
      <c r="J3122" s="17">
        <v>17.974526000000001</v>
      </c>
      <c r="K3122" s="17">
        <v>-96.704117999999994</v>
      </c>
      <c r="L3122" s="17" t="str">
        <f>HYPERLINK("https://maps.google.com/?q=17.974526,-96.704118", "🔗 Ver Mapa")</f>
        <v>🔗 Ver Mapa</v>
      </c>
    </row>
    <row r="3123" spans="1:12" ht="43.5" x14ac:dyDescent="0.35">
      <c r="A3123" s="5" t="s">
        <v>4</v>
      </c>
      <c r="B3123" s="5" t="s">
        <v>17</v>
      </c>
      <c r="C3123" s="5" t="s">
        <v>1558</v>
      </c>
      <c r="D3123" s="8" t="s">
        <v>64</v>
      </c>
      <c r="E3123" s="16" t="s">
        <v>164</v>
      </c>
      <c r="F3123" s="16" t="s">
        <v>165</v>
      </c>
      <c r="G3123" s="8" t="s">
        <v>264</v>
      </c>
      <c r="H3123" s="8" t="s">
        <v>1559</v>
      </c>
      <c r="I3123" s="16" t="s">
        <v>296</v>
      </c>
      <c r="J3123" s="16">
        <v>17.974536000000001</v>
      </c>
      <c r="K3123" s="16">
        <v>-96.704240999999996</v>
      </c>
      <c r="L3123" s="16" t="str">
        <f>HYPERLINK("https://maps.google.com/?q=17.974536,-96.704241", "🔗 Ver Mapa")</f>
        <v>🔗 Ver Mapa</v>
      </c>
    </row>
    <row r="3124" spans="1:12" ht="43.5" x14ac:dyDescent="0.35">
      <c r="A3124" s="6" t="s">
        <v>4</v>
      </c>
      <c r="B3124" s="6" t="s">
        <v>17</v>
      </c>
      <c r="C3124" s="6" t="s">
        <v>1558</v>
      </c>
      <c r="D3124" s="11" t="s">
        <v>64</v>
      </c>
      <c r="E3124" s="17" t="s">
        <v>164</v>
      </c>
      <c r="F3124" s="17" t="s">
        <v>165</v>
      </c>
      <c r="G3124" s="11" t="s">
        <v>264</v>
      </c>
      <c r="H3124" s="11" t="s">
        <v>1559</v>
      </c>
      <c r="I3124" s="17" t="s">
        <v>296</v>
      </c>
      <c r="J3124" s="17">
        <v>17.974613000000002</v>
      </c>
      <c r="K3124" s="17">
        <v>-96.706136999999998</v>
      </c>
      <c r="L3124" s="17" t="str">
        <f>HYPERLINK("https://maps.google.com/?q=17.974613,-96.706137", "🔗 Ver Mapa")</f>
        <v>🔗 Ver Mapa</v>
      </c>
    </row>
    <row r="3125" spans="1:12" ht="43.5" x14ac:dyDescent="0.35">
      <c r="A3125" s="5" t="s">
        <v>4</v>
      </c>
      <c r="B3125" s="5" t="s">
        <v>17</v>
      </c>
      <c r="C3125" s="5" t="s">
        <v>1558</v>
      </c>
      <c r="D3125" s="8" t="s">
        <v>64</v>
      </c>
      <c r="E3125" s="16" t="s">
        <v>164</v>
      </c>
      <c r="F3125" s="16" t="s">
        <v>165</v>
      </c>
      <c r="G3125" s="8" t="s">
        <v>264</v>
      </c>
      <c r="H3125" s="8" t="s">
        <v>1559</v>
      </c>
      <c r="I3125" s="16" t="s">
        <v>296</v>
      </c>
      <c r="J3125" s="16">
        <v>17.974626000000001</v>
      </c>
      <c r="K3125" s="16">
        <v>-96.704201999999995</v>
      </c>
      <c r="L3125" s="16" t="str">
        <f>HYPERLINK("https://maps.google.com/?q=17.974626,-96.704202", "🔗 Ver Mapa")</f>
        <v>🔗 Ver Mapa</v>
      </c>
    </row>
    <row r="3126" spans="1:12" ht="43.5" x14ac:dyDescent="0.35">
      <c r="A3126" s="6" t="s">
        <v>4</v>
      </c>
      <c r="B3126" s="6" t="s">
        <v>17</v>
      </c>
      <c r="C3126" s="6" t="s">
        <v>1558</v>
      </c>
      <c r="D3126" s="11" t="s">
        <v>64</v>
      </c>
      <c r="E3126" s="17" t="s">
        <v>164</v>
      </c>
      <c r="F3126" s="17" t="s">
        <v>165</v>
      </c>
      <c r="G3126" s="11" t="s">
        <v>264</v>
      </c>
      <c r="H3126" s="11" t="s">
        <v>1559</v>
      </c>
      <c r="I3126" s="17" t="s">
        <v>296</v>
      </c>
      <c r="J3126" s="17">
        <v>17.974716999999998</v>
      </c>
      <c r="K3126" s="17">
        <v>-96.704248000000007</v>
      </c>
      <c r="L3126" s="17" t="str">
        <f>HYPERLINK("https://maps.google.com/?q=17.974717,-96.704248", "🔗 Ver Mapa")</f>
        <v>🔗 Ver Mapa</v>
      </c>
    </row>
    <row r="3127" spans="1:12" ht="43.5" x14ac:dyDescent="0.35">
      <c r="A3127" s="5" t="s">
        <v>4</v>
      </c>
      <c r="B3127" s="5" t="s">
        <v>17</v>
      </c>
      <c r="C3127" s="5" t="s">
        <v>1558</v>
      </c>
      <c r="D3127" s="8" t="s">
        <v>64</v>
      </c>
      <c r="E3127" s="16" t="s">
        <v>164</v>
      </c>
      <c r="F3127" s="16" t="s">
        <v>165</v>
      </c>
      <c r="G3127" s="8" t="s">
        <v>264</v>
      </c>
      <c r="H3127" s="8" t="s">
        <v>1559</v>
      </c>
      <c r="I3127" s="16" t="s">
        <v>296</v>
      </c>
      <c r="J3127" s="16">
        <v>17.974830999999998</v>
      </c>
      <c r="K3127" s="16">
        <v>-96.706256999999994</v>
      </c>
      <c r="L3127" s="16" t="str">
        <f>HYPERLINK("https://maps.google.com/?q=17.974831,-96.706257", "🔗 Ver Mapa")</f>
        <v>🔗 Ver Mapa</v>
      </c>
    </row>
    <row r="3128" spans="1:12" ht="43.5" x14ac:dyDescent="0.35">
      <c r="A3128" s="6" t="s">
        <v>4</v>
      </c>
      <c r="B3128" s="6" t="s">
        <v>17</v>
      </c>
      <c r="C3128" s="6" t="s">
        <v>1558</v>
      </c>
      <c r="D3128" s="11" t="s">
        <v>64</v>
      </c>
      <c r="E3128" s="17" t="s">
        <v>164</v>
      </c>
      <c r="F3128" s="17" t="s">
        <v>165</v>
      </c>
      <c r="G3128" s="11" t="s">
        <v>264</v>
      </c>
      <c r="H3128" s="11" t="s">
        <v>1559</v>
      </c>
      <c r="I3128" s="17" t="s">
        <v>296</v>
      </c>
      <c r="J3128" s="17">
        <v>17.974872999999999</v>
      </c>
      <c r="K3128" s="17">
        <v>-96.704434000000006</v>
      </c>
      <c r="L3128" s="17" t="str">
        <f>HYPERLINK("https://maps.google.com/?q=17.974873,-96.704434", "🔗 Ver Mapa")</f>
        <v>🔗 Ver Mapa</v>
      </c>
    </row>
    <row r="3129" spans="1:12" ht="43.5" x14ac:dyDescent="0.35">
      <c r="A3129" s="5" t="s">
        <v>4</v>
      </c>
      <c r="B3129" s="5" t="s">
        <v>17</v>
      </c>
      <c r="C3129" s="5" t="s">
        <v>1558</v>
      </c>
      <c r="D3129" s="8" t="s">
        <v>64</v>
      </c>
      <c r="E3129" s="16" t="s">
        <v>164</v>
      </c>
      <c r="F3129" s="16" t="s">
        <v>165</v>
      </c>
      <c r="G3129" s="8" t="s">
        <v>264</v>
      </c>
      <c r="H3129" s="8" t="s">
        <v>1559</v>
      </c>
      <c r="I3129" s="16" t="s">
        <v>296</v>
      </c>
      <c r="J3129" s="16">
        <v>17.975012</v>
      </c>
      <c r="K3129" s="16">
        <v>-96.706320000000005</v>
      </c>
      <c r="L3129" s="16" t="str">
        <f>HYPERLINK("https://maps.google.com/?q=17.975012,-96.70632", "🔗 Ver Mapa")</f>
        <v>🔗 Ver Mapa</v>
      </c>
    </row>
    <row r="3130" spans="1:12" ht="43.5" x14ac:dyDescent="0.35">
      <c r="A3130" s="6" t="s">
        <v>4</v>
      </c>
      <c r="B3130" s="6" t="s">
        <v>17</v>
      </c>
      <c r="C3130" s="6" t="s">
        <v>1558</v>
      </c>
      <c r="D3130" s="11" t="s">
        <v>64</v>
      </c>
      <c r="E3130" s="17" t="s">
        <v>164</v>
      </c>
      <c r="F3130" s="17" t="s">
        <v>165</v>
      </c>
      <c r="G3130" s="11" t="s">
        <v>264</v>
      </c>
      <c r="H3130" s="11" t="s">
        <v>1559</v>
      </c>
      <c r="I3130" s="17" t="s">
        <v>296</v>
      </c>
      <c r="J3130" s="17">
        <v>17.975090000000002</v>
      </c>
      <c r="K3130" s="17">
        <v>-96.704507000000007</v>
      </c>
      <c r="L3130" s="17" t="str">
        <f>HYPERLINK("https://maps.google.com/?q=17.97509,-96.704507", "🔗 Ver Mapa")</f>
        <v>🔗 Ver Mapa</v>
      </c>
    </row>
    <row r="3131" spans="1:12" ht="43.5" x14ac:dyDescent="0.35">
      <c r="A3131" s="5" t="s">
        <v>4</v>
      </c>
      <c r="B3131" s="5" t="s">
        <v>17</v>
      </c>
      <c r="C3131" s="5" t="s">
        <v>1558</v>
      </c>
      <c r="D3131" s="8" t="s">
        <v>64</v>
      </c>
      <c r="E3131" s="16" t="s">
        <v>164</v>
      </c>
      <c r="F3131" s="16" t="s">
        <v>165</v>
      </c>
      <c r="G3131" s="8" t="s">
        <v>264</v>
      </c>
      <c r="H3131" s="8" t="s">
        <v>1559</v>
      </c>
      <c r="I3131" s="16" t="s">
        <v>296</v>
      </c>
      <c r="J3131" s="16">
        <v>17.975175</v>
      </c>
      <c r="K3131" s="16">
        <v>-96.706317999999996</v>
      </c>
      <c r="L3131" s="16" t="str">
        <f>HYPERLINK("https://maps.google.com/?q=17.975175,-96.706318", "🔗 Ver Mapa")</f>
        <v>🔗 Ver Mapa</v>
      </c>
    </row>
    <row r="3132" spans="1:12" ht="43.5" x14ac:dyDescent="0.35">
      <c r="A3132" s="6" t="s">
        <v>4</v>
      </c>
      <c r="B3132" s="6" t="s">
        <v>17</v>
      </c>
      <c r="C3132" s="6" t="s">
        <v>1558</v>
      </c>
      <c r="D3132" s="11" t="s">
        <v>64</v>
      </c>
      <c r="E3132" s="17" t="s">
        <v>164</v>
      </c>
      <c r="F3132" s="17" t="s">
        <v>165</v>
      </c>
      <c r="G3132" s="11" t="s">
        <v>264</v>
      </c>
      <c r="H3132" s="11" t="s">
        <v>1559</v>
      </c>
      <c r="I3132" s="17" t="s">
        <v>296</v>
      </c>
      <c r="J3132" s="17">
        <v>17.975255000000001</v>
      </c>
      <c r="K3132" s="17">
        <v>-96.703126999999995</v>
      </c>
      <c r="L3132" s="17" t="str">
        <f>HYPERLINK("https://maps.google.com/?q=17.975255,-96.703127", "🔗 Ver Mapa")</f>
        <v>🔗 Ver Mapa</v>
      </c>
    </row>
    <row r="3133" spans="1:12" ht="43.5" x14ac:dyDescent="0.35">
      <c r="A3133" s="5" t="s">
        <v>4</v>
      </c>
      <c r="B3133" s="5" t="s">
        <v>17</v>
      </c>
      <c r="C3133" s="5" t="s">
        <v>1558</v>
      </c>
      <c r="D3133" s="8" t="s">
        <v>64</v>
      </c>
      <c r="E3133" s="16" t="s">
        <v>164</v>
      </c>
      <c r="F3133" s="16" t="s">
        <v>165</v>
      </c>
      <c r="G3133" s="8" t="s">
        <v>264</v>
      </c>
      <c r="H3133" s="8" t="s">
        <v>1559</v>
      </c>
      <c r="I3133" s="16" t="s">
        <v>296</v>
      </c>
      <c r="J3133" s="16">
        <v>17.975289</v>
      </c>
      <c r="K3133" s="16">
        <v>-96.704532999999998</v>
      </c>
      <c r="L3133" s="16" t="str">
        <f>HYPERLINK("https://maps.google.com/?q=17.975289,-96.704533", "🔗 Ver Mapa")</f>
        <v>🔗 Ver Mapa</v>
      </c>
    </row>
    <row r="3134" spans="1:12" ht="43.5" x14ac:dyDescent="0.35">
      <c r="A3134" s="6" t="s">
        <v>4</v>
      </c>
      <c r="B3134" s="6" t="s">
        <v>17</v>
      </c>
      <c r="C3134" s="6" t="s">
        <v>1558</v>
      </c>
      <c r="D3134" s="11" t="s">
        <v>64</v>
      </c>
      <c r="E3134" s="17" t="s">
        <v>164</v>
      </c>
      <c r="F3134" s="17" t="s">
        <v>165</v>
      </c>
      <c r="G3134" s="11" t="s">
        <v>264</v>
      </c>
      <c r="H3134" s="11" t="s">
        <v>1559</v>
      </c>
      <c r="I3134" s="17" t="s">
        <v>296</v>
      </c>
      <c r="J3134" s="17">
        <v>17.975498999999999</v>
      </c>
      <c r="K3134" s="17">
        <v>-96.705465000000004</v>
      </c>
      <c r="L3134" s="17" t="str">
        <f>HYPERLINK("https://maps.google.com/?q=17.975499,-96.705465", "🔗 Ver Mapa")</f>
        <v>🔗 Ver Mapa</v>
      </c>
    </row>
    <row r="3135" spans="1:12" ht="43.5" x14ac:dyDescent="0.35">
      <c r="A3135" s="5" t="s">
        <v>4</v>
      </c>
      <c r="B3135" s="5" t="s">
        <v>17</v>
      </c>
      <c r="C3135" s="5" t="s">
        <v>1558</v>
      </c>
      <c r="D3135" s="8" t="s">
        <v>64</v>
      </c>
      <c r="E3135" s="16" t="s">
        <v>164</v>
      </c>
      <c r="F3135" s="16" t="s">
        <v>165</v>
      </c>
      <c r="G3135" s="8" t="s">
        <v>264</v>
      </c>
      <c r="H3135" s="8" t="s">
        <v>1559</v>
      </c>
      <c r="I3135" s="16" t="s">
        <v>296</v>
      </c>
      <c r="J3135" s="16">
        <v>17.975501000000001</v>
      </c>
      <c r="K3135" s="16">
        <v>-96.70487</v>
      </c>
      <c r="L3135" s="16" t="str">
        <f>HYPERLINK("https://maps.google.com/?q=17.975501,-96.70487", "🔗 Ver Mapa")</f>
        <v>🔗 Ver Mapa</v>
      </c>
    </row>
    <row r="3136" spans="1:12" ht="43.5" x14ac:dyDescent="0.35">
      <c r="A3136" s="6" t="s">
        <v>4</v>
      </c>
      <c r="B3136" s="6" t="s">
        <v>17</v>
      </c>
      <c r="C3136" s="6" t="s">
        <v>1558</v>
      </c>
      <c r="D3136" s="11" t="s">
        <v>64</v>
      </c>
      <c r="E3136" s="17" t="s">
        <v>164</v>
      </c>
      <c r="F3136" s="17" t="s">
        <v>165</v>
      </c>
      <c r="G3136" s="11" t="s">
        <v>264</v>
      </c>
      <c r="H3136" s="11" t="s">
        <v>1559</v>
      </c>
      <c r="I3136" s="17" t="s">
        <v>296</v>
      </c>
      <c r="J3136" s="17">
        <v>17.975503</v>
      </c>
      <c r="K3136" s="17">
        <v>-96.702736999999999</v>
      </c>
      <c r="L3136" s="17" t="str">
        <f>HYPERLINK("https://maps.google.com/?q=17.975503,-96.702737", "🔗 Ver Mapa")</f>
        <v>🔗 Ver Mapa</v>
      </c>
    </row>
    <row r="3137" spans="1:12" ht="43.5" x14ac:dyDescent="0.35">
      <c r="A3137" s="5" t="s">
        <v>4</v>
      </c>
      <c r="B3137" s="5" t="s">
        <v>17</v>
      </c>
      <c r="C3137" s="5" t="s">
        <v>1558</v>
      </c>
      <c r="D3137" s="8" t="s">
        <v>64</v>
      </c>
      <c r="E3137" s="16" t="s">
        <v>164</v>
      </c>
      <c r="F3137" s="16" t="s">
        <v>165</v>
      </c>
      <c r="G3137" s="8" t="s">
        <v>264</v>
      </c>
      <c r="H3137" s="8" t="s">
        <v>1559</v>
      </c>
      <c r="I3137" s="16" t="s">
        <v>296</v>
      </c>
      <c r="J3137" s="16">
        <v>17.975511999999998</v>
      </c>
      <c r="K3137" s="16">
        <v>-96.705765999999997</v>
      </c>
      <c r="L3137" s="16" t="str">
        <f>HYPERLINK("https://maps.google.com/?q=17.975512,-96.705766", "🔗 Ver Mapa")</f>
        <v>🔗 Ver Mapa</v>
      </c>
    </row>
    <row r="3138" spans="1:12" ht="43.5" x14ac:dyDescent="0.35">
      <c r="A3138" s="6" t="s">
        <v>4</v>
      </c>
      <c r="B3138" s="6" t="s">
        <v>17</v>
      </c>
      <c r="C3138" s="6" t="s">
        <v>1558</v>
      </c>
      <c r="D3138" s="11" t="s">
        <v>64</v>
      </c>
      <c r="E3138" s="17" t="s">
        <v>164</v>
      </c>
      <c r="F3138" s="17" t="s">
        <v>165</v>
      </c>
      <c r="G3138" s="11" t="s">
        <v>264</v>
      </c>
      <c r="H3138" s="11" t="s">
        <v>1559</v>
      </c>
      <c r="I3138" s="17" t="s">
        <v>296</v>
      </c>
      <c r="J3138" s="17">
        <v>17.975548</v>
      </c>
      <c r="K3138" s="17">
        <v>-96.705057999999994</v>
      </c>
      <c r="L3138" s="17" t="str">
        <f>HYPERLINK("https://maps.google.com/?q=17.975548,-96.705058", "🔗 Ver Mapa")</f>
        <v>🔗 Ver Mapa</v>
      </c>
    </row>
    <row r="3139" spans="1:12" ht="43.5" x14ac:dyDescent="0.35">
      <c r="A3139" s="5" t="s">
        <v>4</v>
      </c>
      <c r="B3139" s="5" t="s">
        <v>17</v>
      </c>
      <c r="C3139" s="5" t="s">
        <v>1558</v>
      </c>
      <c r="D3139" s="8" t="s">
        <v>64</v>
      </c>
      <c r="E3139" s="16" t="s">
        <v>164</v>
      </c>
      <c r="F3139" s="16" t="s">
        <v>165</v>
      </c>
      <c r="G3139" s="8" t="s">
        <v>264</v>
      </c>
      <c r="H3139" s="8" t="s">
        <v>1559</v>
      </c>
      <c r="I3139" s="16" t="s">
        <v>296</v>
      </c>
      <c r="J3139" s="16">
        <v>17.976098</v>
      </c>
      <c r="K3139" s="16">
        <v>-96.704172999999997</v>
      </c>
      <c r="L3139" s="16" t="str">
        <f>HYPERLINK("https://maps.google.com/?q=17.976098,-96.704173", "🔗 Ver Mapa")</f>
        <v>🔗 Ver Mapa</v>
      </c>
    </row>
    <row r="3140" spans="1:12" ht="43.5" x14ac:dyDescent="0.35">
      <c r="A3140" s="6" t="s">
        <v>4</v>
      </c>
      <c r="B3140" s="6" t="s">
        <v>17</v>
      </c>
      <c r="C3140" s="6" t="s">
        <v>1558</v>
      </c>
      <c r="D3140" s="11" t="s">
        <v>64</v>
      </c>
      <c r="E3140" s="17" t="s">
        <v>164</v>
      </c>
      <c r="F3140" s="17" t="s">
        <v>165</v>
      </c>
      <c r="G3140" s="11" t="s">
        <v>264</v>
      </c>
      <c r="H3140" s="11" t="s">
        <v>1559</v>
      </c>
      <c r="I3140" s="17" t="s">
        <v>296</v>
      </c>
      <c r="J3140" s="17">
        <v>17.976345999999999</v>
      </c>
      <c r="K3140" s="17">
        <v>-96.703772999999998</v>
      </c>
      <c r="L3140" s="17" t="str">
        <f>HYPERLINK("https://maps.google.com/?q=17.976346,-96.703773", "🔗 Ver Mapa")</f>
        <v>🔗 Ver Mapa</v>
      </c>
    </row>
    <row r="3141" spans="1:12" ht="43.5" x14ac:dyDescent="0.35">
      <c r="A3141" s="5" t="s">
        <v>4</v>
      </c>
      <c r="B3141" s="5" t="s">
        <v>17</v>
      </c>
      <c r="C3141" s="5" t="s">
        <v>1558</v>
      </c>
      <c r="D3141" s="8" t="s">
        <v>64</v>
      </c>
      <c r="E3141" s="16" t="s">
        <v>164</v>
      </c>
      <c r="F3141" s="16" t="s">
        <v>165</v>
      </c>
      <c r="G3141" s="8" t="s">
        <v>264</v>
      </c>
      <c r="H3141" s="8" t="s">
        <v>1559</v>
      </c>
      <c r="I3141" s="16" t="s">
        <v>296</v>
      </c>
      <c r="J3141" s="16">
        <v>17.976351000000001</v>
      </c>
      <c r="K3141" s="16">
        <v>-96.703415000000007</v>
      </c>
      <c r="L3141" s="16" t="str">
        <f>HYPERLINK("https://maps.google.com/?q=17.976351,-96.703415", "🔗 Ver Mapa")</f>
        <v>🔗 Ver Mapa</v>
      </c>
    </row>
    <row r="3142" spans="1:12" ht="43.5" x14ac:dyDescent="0.35">
      <c r="A3142" s="6" t="s">
        <v>4</v>
      </c>
      <c r="B3142" s="6" t="s">
        <v>17</v>
      </c>
      <c r="C3142" s="6" t="s">
        <v>1558</v>
      </c>
      <c r="D3142" s="11" t="s">
        <v>64</v>
      </c>
      <c r="E3142" s="17" t="s">
        <v>164</v>
      </c>
      <c r="F3142" s="17" t="s">
        <v>165</v>
      </c>
      <c r="G3142" s="11" t="s">
        <v>264</v>
      </c>
      <c r="H3142" s="11" t="s">
        <v>1559</v>
      </c>
      <c r="I3142" s="17" t="s">
        <v>296</v>
      </c>
      <c r="J3142" s="17">
        <v>17.976441000000001</v>
      </c>
      <c r="K3142" s="17">
        <v>-96.703404000000006</v>
      </c>
      <c r="L3142" s="17" t="str">
        <f>HYPERLINK("https://maps.google.com/?q=17.976441,-96.703404", "🔗 Ver Mapa")</f>
        <v>🔗 Ver Mapa</v>
      </c>
    </row>
    <row r="3143" spans="1:12" ht="43.5" x14ac:dyDescent="0.35">
      <c r="A3143" s="5" t="s">
        <v>4</v>
      </c>
      <c r="B3143" s="5" t="s">
        <v>17</v>
      </c>
      <c r="C3143" s="5" t="s">
        <v>1558</v>
      </c>
      <c r="D3143" s="8" t="s">
        <v>64</v>
      </c>
      <c r="E3143" s="16" t="s">
        <v>164</v>
      </c>
      <c r="F3143" s="16" t="s">
        <v>165</v>
      </c>
      <c r="G3143" s="8" t="s">
        <v>264</v>
      </c>
      <c r="H3143" s="8" t="s">
        <v>1559</v>
      </c>
      <c r="I3143" s="16" t="s">
        <v>296</v>
      </c>
      <c r="J3143" s="16">
        <v>17.976675</v>
      </c>
      <c r="K3143" s="16">
        <v>-96.704081000000002</v>
      </c>
      <c r="L3143" s="16" t="str">
        <f>HYPERLINK("https://maps.google.com/?q=17.976675,-96.704081", "🔗 Ver Mapa")</f>
        <v>🔗 Ver Mapa</v>
      </c>
    </row>
    <row r="3144" spans="1:12" ht="43.5" x14ac:dyDescent="0.35">
      <c r="A3144" s="6" t="s">
        <v>4</v>
      </c>
      <c r="B3144" s="6" t="s">
        <v>17</v>
      </c>
      <c r="C3144" s="6" t="s">
        <v>1558</v>
      </c>
      <c r="D3144" s="11" t="s">
        <v>64</v>
      </c>
      <c r="E3144" s="17" t="s">
        <v>164</v>
      </c>
      <c r="F3144" s="17" t="s">
        <v>165</v>
      </c>
      <c r="G3144" s="11" t="s">
        <v>264</v>
      </c>
      <c r="H3144" s="11" t="s">
        <v>1559</v>
      </c>
      <c r="I3144" s="17" t="s">
        <v>296</v>
      </c>
      <c r="J3144" s="17">
        <v>17.976690000000001</v>
      </c>
      <c r="K3144" s="17">
        <v>-96.703845000000001</v>
      </c>
      <c r="L3144" s="17" t="str">
        <f>HYPERLINK("https://maps.google.com/?q=17.97669,-96.703845", "🔗 Ver Mapa")</f>
        <v>🔗 Ver Mapa</v>
      </c>
    </row>
    <row r="3145" spans="1:12" ht="43.5" x14ac:dyDescent="0.35">
      <c r="A3145" s="5" t="s">
        <v>4</v>
      </c>
      <c r="B3145" s="5" t="s">
        <v>17</v>
      </c>
      <c r="C3145" s="5" t="s">
        <v>1558</v>
      </c>
      <c r="D3145" s="8" t="s">
        <v>64</v>
      </c>
      <c r="E3145" s="16" t="s">
        <v>164</v>
      </c>
      <c r="F3145" s="16" t="s">
        <v>165</v>
      </c>
      <c r="G3145" s="8" t="s">
        <v>264</v>
      </c>
      <c r="H3145" s="8" t="s">
        <v>1559</v>
      </c>
      <c r="I3145" s="16" t="s">
        <v>296</v>
      </c>
      <c r="J3145" s="16">
        <v>17.976742000000002</v>
      </c>
      <c r="K3145" s="16">
        <v>-96.703608000000003</v>
      </c>
      <c r="L3145" s="16" t="str">
        <f>HYPERLINK("https://maps.google.com/?q=17.976742,-96.703608", "🔗 Ver Mapa")</f>
        <v>🔗 Ver Mapa</v>
      </c>
    </row>
    <row r="3146" spans="1:12" ht="43.5" x14ac:dyDescent="0.35">
      <c r="A3146" s="6" t="s">
        <v>4</v>
      </c>
      <c r="B3146" s="6" t="s">
        <v>17</v>
      </c>
      <c r="C3146" s="6" t="s">
        <v>1558</v>
      </c>
      <c r="D3146" s="11" t="s">
        <v>64</v>
      </c>
      <c r="E3146" s="17" t="s">
        <v>164</v>
      </c>
      <c r="F3146" s="17" t="s">
        <v>165</v>
      </c>
      <c r="G3146" s="11" t="s">
        <v>264</v>
      </c>
      <c r="H3146" s="11" t="s">
        <v>1559</v>
      </c>
      <c r="I3146" s="17" t="s">
        <v>296</v>
      </c>
      <c r="J3146" s="17">
        <v>17.976828000000001</v>
      </c>
      <c r="K3146" s="17">
        <v>-96.703228999999993</v>
      </c>
      <c r="L3146" s="17" t="str">
        <f>HYPERLINK("https://maps.google.com/?q=17.976828,-96.703229", "🔗 Ver Mapa")</f>
        <v>🔗 Ver Mapa</v>
      </c>
    </row>
    <row r="3147" spans="1:12" ht="43.5" x14ac:dyDescent="0.35">
      <c r="A3147" s="5" t="s">
        <v>4</v>
      </c>
      <c r="B3147" s="5" t="s">
        <v>17</v>
      </c>
      <c r="C3147" s="5" t="s">
        <v>1558</v>
      </c>
      <c r="D3147" s="8" t="s">
        <v>64</v>
      </c>
      <c r="E3147" s="16" t="s">
        <v>164</v>
      </c>
      <c r="F3147" s="16" t="s">
        <v>165</v>
      </c>
      <c r="G3147" s="8" t="s">
        <v>264</v>
      </c>
      <c r="H3147" s="8" t="s">
        <v>1559</v>
      </c>
      <c r="I3147" s="16" t="s">
        <v>296</v>
      </c>
      <c r="J3147" s="16">
        <v>17.97719</v>
      </c>
      <c r="K3147" s="16">
        <v>-96.705650000000006</v>
      </c>
      <c r="L3147" s="16" t="str">
        <f>HYPERLINK("https://maps.google.com/?q=17.97719,-96.70565", "🔗 Ver Mapa")</f>
        <v>🔗 Ver Mapa</v>
      </c>
    </row>
    <row r="3148" spans="1:12" ht="43.5" x14ac:dyDescent="0.35">
      <c r="A3148" s="6" t="s">
        <v>4</v>
      </c>
      <c r="B3148" s="6" t="s">
        <v>17</v>
      </c>
      <c r="C3148" s="6" t="s">
        <v>1558</v>
      </c>
      <c r="D3148" s="11" t="s">
        <v>64</v>
      </c>
      <c r="E3148" s="17" t="s">
        <v>164</v>
      </c>
      <c r="F3148" s="17" t="s">
        <v>165</v>
      </c>
      <c r="G3148" s="11" t="s">
        <v>264</v>
      </c>
      <c r="H3148" s="11" t="s">
        <v>1559</v>
      </c>
      <c r="I3148" s="17" t="s">
        <v>296</v>
      </c>
      <c r="J3148" s="17">
        <v>17.977260999999999</v>
      </c>
      <c r="K3148" s="17">
        <v>-96.705507999999995</v>
      </c>
      <c r="L3148" s="17" t="str">
        <f>HYPERLINK("https://maps.google.com/?q=17.977261,-96.705508", "🔗 Ver Mapa")</f>
        <v>🔗 Ver Mapa</v>
      </c>
    </row>
    <row r="3149" spans="1:12" ht="43.5" x14ac:dyDescent="0.35">
      <c r="A3149" s="5" t="s">
        <v>4</v>
      </c>
      <c r="B3149" s="5" t="s">
        <v>17</v>
      </c>
      <c r="C3149" s="5" t="s">
        <v>1558</v>
      </c>
      <c r="D3149" s="8" t="s">
        <v>64</v>
      </c>
      <c r="E3149" s="16" t="s">
        <v>164</v>
      </c>
      <c r="F3149" s="16" t="s">
        <v>165</v>
      </c>
      <c r="G3149" s="8" t="s">
        <v>264</v>
      </c>
      <c r="H3149" s="8" t="s">
        <v>1559</v>
      </c>
      <c r="I3149" s="16" t="s">
        <v>296</v>
      </c>
      <c r="J3149" s="16">
        <v>17.977312000000001</v>
      </c>
      <c r="K3149" s="16">
        <v>-96.705270999999996</v>
      </c>
      <c r="L3149" s="16" t="str">
        <f>HYPERLINK("https://maps.google.com/?q=17.977312,-96.705271", "🔗 Ver Mapa")</f>
        <v>🔗 Ver Mapa</v>
      </c>
    </row>
    <row r="3150" spans="1:12" ht="43.5" x14ac:dyDescent="0.35">
      <c r="A3150" s="6" t="s">
        <v>4</v>
      </c>
      <c r="B3150" s="6" t="s">
        <v>17</v>
      </c>
      <c r="C3150" s="6" t="s">
        <v>1558</v>
      </c>
      <c r="D3150" s="11" t="s">
        <v>64</v>
      </c>
      <c r="E3150" s="17" t="s">
        <v>164</v>
      </c>
      <c r="F3150" s="17" t="s">
        <v>165</v>
      </c>
      <c r="G3150" s="11" t="s">
        <v>264</v>
      </c>
      <c r="H3150" s="11" t="s">
        <v>1559</v>
      </c>
      <c r="I3150" s="17" t="s">
        <v>296</v>
      </c>
      <c r="J3150" s="17">
        <v>17.977328</v>
      </c>
      <c r="K3150" s="17">
        <v>-96.705026000000004</v>
      </c>
      <c r="L3150" s="17" t="str">
        <f>HYPERLINK("https://maps.google.com/?q=17.977328,-96.705026", "🔗 Ver Mapa")</f>
        <v>🔗 Ver Mapa</v>
      </c>
    </row>
    <row r="3151" spans="1:12" ht="43.5" x14ac:dyDescent="0.35">
      <c r="A3151" s="5" t="s">
        <v>4</v>
      </c>
      <c r="B3151" s="5" t="s">
        <v>17</v>
      </c>
      <c r="C3151" s="5" t="s">
        <v>1558</v>
      </c>
      <c r="D3151" s="8" t="s">
        <v>64</v>
      </c>
      <c r="E3151" s="16" t="s">
        <v>164</v>
      </c>
      <c r="F3151" s="16" t="s">
        <v>165</v>
      </c>
      <c r="G3151" s="8" t="s">
        <v>264</v>
      </c>
      <c r="H3151" s="8" t="s">
        <v>1559</v>
      </c>
      <c r="I3151" s="16" t="s">
        <v>296</v>
      </c>
      <c r="J3151" s="16">
        <v>17.977352</v>
      </c>
      <c r="K3151" s="16">
        <v>-96.704826999999995</v>
      </c>
      <c r="L3151" s="16" t="str">
        <f>HYPERLINK("https://maps.google.com/?q=17.977352,-96.704827", "🔗 Ver Mapa")</f>
        <v>🔗 Ver Mapa</v>
      </c>
    </row>
    <row r="3152" spans="1:12" ht="43.5" x14ac:dyDescent="0.35">
      <c r="A3152" s="6" t="s">
        <v>4</v>
      </c>
      <c r="B3152" s="6" t="s">
        <v>17</v>
      </c>
      <c r="C3152" s="6" t="s">
        <v>1558</v>
      </c>
      <c r="D3152" s="11" t="s">
        <v>64</v>
      </c>
      <c r="E3152" s="17" t="s">
        <v>164</v>
      </c>
      <c r="F3152" s="17" t="s">
        <v>165</v>
      </c>
      <c r="G3152" s="11" t="s">
        <v>264</v>
      </c>
      <c r="H3152" s="11" t="s">
        <v>1559</v>
      </c>
      <c r="I3152" s="17" t="s">
        <v>296</v>
      </c>
      <c r="J3152" s="17">
        <v>17.977404</v>
      </c>
      <c r="K3152" s="17">
        <v>-96.704638000000003</v>
      </c>
      <c r="L3152" s="17" t="str">
        <f>HYPERLINK("https://maps.google.com/?q=17.977404,-96.704638", "🔗 Ver Mapa")</f>
        <v>🔗 Ver Mapa</v>
      </c>
    </row>
    <row r="3153" spans="1:12" ht="43.5" x14ac:dyDescent="0.35">
      <c r="A3153" s="5" t="s">
        <v>4</v>
      </c>
      <c r="B3153" s="5" t="s">
        <v>17</v>
      </c>
      <c r="C3153" s="5" t="s">
        <v>1558</v>
      </c>
      <c r="D3153" s="8" t="s">
        <v>64</v>
      </c>
      <c r="E3153" s="16" t="s">
        <v>164</v>
      </c>
      <c r="F3153" s="16" t="s">
        <v>165</v>
      </c>
      <c r="G3153" s="8" t="s">
        <v>264</v>
      </c>
      <c r="H3153" s="8" t="s">
        <v>1559</v>
      </c>
      <c r="I3153" s="16" t="s">
        <v>296</v>
      </c>
      <c r="J3153" s="16">
        <v>17.977492000000002</v>
      </c>
      <c r="K3153" s="16">
        <v>-96.704447999999999</v>
      </c>
      <c r="L3153" s="16" t="str">
        <f>HYPERLINK("https://maps.google.com/?q=17.977492,-96.704448", "🔗 Ver Mapa")</f>
        <v>🔗 Ver Mapa</v>
      </c>
    </row>
    <row r="3154" spans="1:12" ht="43.5" x14ac:dyDescent="0.35">
      <c r="A3154" s="6" t="s">
        <v>4</v>
      </c>
      <c r="B3154" s="6" t="s">
        <v>17</v>
      </c>
      <c r="C3154" s="6" t="s">
        <v>1560</v>
      </c>
      <c r="D3154" s="11" t="s">
        <v>294</v>
      </c>
      <c r="E3154" s="17" t="s">
        <v>75</v>
      </c>
      <c r="F3154" s="17" t="s">
        <v>149</v>
      </c>
      <c r="G3154" s="11" t="s">
        <v>1561</v>
      </c>
      <c r="H3154" s="11" t="s">
        <v>1562</v>
      </c>
      <c r="I3154" s="17" t="s">
        <v>138</v>
      </c>
      <c r="J3154" s="17">
        <v>16.776198999999998</v>
      </c>
      <c r="K3154" s="17">
        <v>-96.586429999999993</v>
      </c>
      <c r="L3154" s="17" t="str">
        <f>HYPERLINK("https://maps.google.com/?q=16.776199,-96.58643", "🔗 Ver Mapa")</f>
        <v>🔗 Ver Mapa</v>
      </c>
    </row>
    <row r="3155" spans="1:12" ht="43.5" x14ac:dyDescent="0.35">
      <c r="A3155" s="5" t="s">
        <v>4</v>
      </c>
      <c r="B3155" s="5" t="s">
        <v>17</v>
      </c>
      <c r="C3155" s="5" t="s">
        <v>1563</v>
      </c>
      <c r="D3155" s="8" t="s">
        <v>64</v>
      </c>
      <c r="E3155" s="16" t="s">
        <v>75</v>
      </c>
      <c r="F3155" s="16" t="s">
        <v>149</v>
      </c>
      <c r="G3155" s="8" t="s">
        <v>1561</v>
      </c>
      <c r="H3155" s="8" t="s">
        <v>1562</v>
      </c>
      <c r="I3155" s="16" t="s">
        <v>296</v>
      </c>
      <c r="J3155" s="16">
        <v>16.776454069345998</v>
      </c>
      <c r="K3155" s="16">
        <v>-96.584282481558006</v>
      </c>
      <c r="L3155" s="16" t="str">
        <f>HYPERLINK("https://maps.google.com/?q=16.776454069346,-96.584282481558", "🔗 Ver Mapa")</f>
        <v>🔗 Ver Mapa</v>
      </c>
    </row>
    <row r="3156" spans="1:12" ht="43.5" x14ac:dyDescent="0.35">
      <c r="A3156" s="6" t="s">
        <v>4</v>
      </c>
      <c r="B3156" s="6" t="s">
        <v>17</v>
      </c>
      <c r="C3156" s="6" t="s">
        <v>1563</v>
      </c>
      <c r="D3156" s="11" t="s">
        <v>64</v>
      </c>
      <c r="E3156" s="17" t="s">
        <v>75</v>
      </c>
      <c r="F3156" s="17" t="s">
        <v>149</v>
      </c>
      <c r="G3156" s="11" t="s">
        <v>1561</v>
      </c>
      <c r="H3156" s="11" t="s">
        <v>1562</v>
      </c>
      <c r="I3156" s="17" t="s">
        <v>296</v>
      </c>
      <c r="J3156" s="17">
        <v>16.776638578658002</v>
      </c>
      <c r="K3156" s="17">
        <v>-96.584976240111004</v>
      </c>
      <c r="L3156" s="17" t="str">
        <f>HYPERLINK("https://maps.google.com/?q=16.776638578658,-96.584976240111", "🔗 Ver Mapa")</f>
        <v>🔗 Ver Mapa</v>
      </c>
    </row>
    <row r="3157" spans="1:12" ht="43.5" x14ac:dyDescent="0.35">
      <c r="A3157" s="5" t="s">
        <v>4</v>
      </c>
      <c r="B3157" s="5" t="s">
        <v>17</v>
      </c>
      <c r="C3157" s="5" t="s">
        <v>1563</v>
      </c>
      <c r="D3157" s="8" t="s">
        <v>64</v>
      </c>
      <c r="E3157" s="16" t="s">
        <v>75</v>
      </c>
      <c r="F3157" s="16" t="s">
        <v>149</v>
      </c>
      <c r="G3157" s="8" t="s">
        <v>1561</v>
      </c>
      <c r="H3157" s="8" t="s">
        <v>1562</v>
      </c>
      <c r="I3157" s="16" t="s">
        <v>296</v>
      </c>
      <c r="J3157" s="16">
        <v>16.776670711794001</v>
      </c>
      <c r="K3157" s="16">
        <v>-96.584881271544006</v>
      </c>
      <c r="L3157" s="16" t="str">
        <f>HYPERLINK("https://maps.google.com/?q=16.776670711794,-96.584881271544", "🔗 Ver Mapa")</f>
        <v>🔗 Ver Mapa</v>
      </c>
    </row>
    <row r="3158" spans="1:12" ht="43.5" x14ac:dyDescent="0.35">
      <c r="A3158" s="6" t="s">
        <v>4</v>
      </c>
      <c r="B3158" s="6" t="s">
        <v>17</v>
      </c>
      <c r="C3158" s="6" t="s">
        <v>1563</v>
      </c>
      <c r="D3158" s="11" t="s">
        <v>64</v>
      </c>
      <c r="E3158" s="17" t="s">
        <v>75</v>
      </c>
      <c r="F3158" s="17" t="s">
        <v>149</v>
      </c>
      <c r="G3158" s="11" t="s">
        <v>1561</v>
      </c>
      <c r="H3158" s="11" t="s">
        <v>1562</v>
      </c>
      <c r="I3158" s="17" t="s">
        <v>296</v>
      </c>
      <c r="J3158" s="17">
        <v>16.776937369999999</v>
      </c>
      <c r="K3158" s="17">
        <v>-96.58379008</v>
      </c>
      <c r="L3158" s="17" t="str">
        <f>HYPERLINK("https://maps.google.com/?q=16.77693737,-96.58379008", "🔗 Ver Mapa")</f>
        <v>🔗 Ver Mapa</v>
      </c>
    </row>
    <row r="3159" spans="1:12" ht="43.5" x14ac:dyDescent="0.35">
      <c r="A3159" s="5" t="s">
        <v>4</v>
      </c>
      <c r="B3159" s="5" t="s">
        <v>17</v>
      </c>
      <c r="C3159" s="5" t="s">
        <v>1563</v>
      </c>
      <c r="D3159" s="8" t="s">
        <v>64</v>
      </c>
      <c r="E3159" s="16" t="s">
        <v>75</v>
      </c>
      <c r="F3159" s="16" t="s">
        <v>149</v>
      </c>
      <c r="G3159" s="8" t="s">
        <v>1561</v>
      </c>
      <c r="H3159" s="8" t="s">
        <v>1562</v>
      </c>
      <c r="I3159" s="16" t="s">
        <v>296</v>
      </c>
      <c r="J3159" s="16">
        <v>16.777092480714</v>
      </c>
      <c r="K3159" s="16">
        <v>-96.584805533047998</v>
      </c>
      <c r="L3159" s="16" t="str">
        <f>HYPERLINK("https://maps.google.com/?q=16.777092480714,-96.584805533048", "🔗 Ver Mapa")</f>
        <v>🔗 Ver Mapa</v>
      </c>
    </row>
    <row r="3160" spans="1:12" ht="43.5" x14ac:dyDescent="0.35">
      <c r="A3160" s="6" t="s">
        <v>4</v>
      </c>
      <c r="B3160" s="6" t="s">
        <v>17</v>
      </c>
      <c r="C3160" s="6" t="s">
        <v>1563</v>
      </c>
      <c r="D3160" s="11" t="s">
        <v>64</v>
      </c>
      <c r="E3160" s="17" t="s">
        <v>75</v>
      </c>
      <c r="F3160" s="17" t="s">
        <v>149</v>
      </c>
      <c r="G3160" s="11" t="s">
        <v>1561</v>
      </c>
      <c r="H3160" s="11" t="s">
        <v>1562</v>
      </c>
      <c r="I3160" s="17" t="s">
        <v>296</v>
      </c>
      <c r="J3160" s="17">
        <v>16.77777266</v>
      </c>
      <c r="K3160" s="17">
        <v>-96.582544609999999</v>
      </c>
      <c r="L3160" s="17" t="str">
        <f>HYPERLINK("https://maps.google.com/?q=16.77777266,-96.58254461", "🔗 Ver Mapa")</f>
        <v>🔗 Ver Mapa</v>
      </c>
    </row>
    <row r="3161" spans="1:12" ht="43.5" x14ac:dyDescent="0.35">
      <c r="A3161" s="5" t="s">
        <v>4</v>
      </c>
      <c r="B3161" s="5" t="s">
        <v>17</v>
      </c>
      <c r="C3161" s="5" t="s">
        <v>1563</v>
      </c>
      <c r="D3161" s="8" t="s">
        <v>64</v>
      </c>
      <c r="E3161" s="16" t="s">
        <v>75</v>
      </c>
      <c r="F3161" s="16" t="s">
        <v>149</v>
      </c>
      <c r="G3161" s="8" t="s">
        <v>1561</v>
      </c>
      <c r="H3161" s="8" t="s">
        <v>1562</v>
      </c>
      <c r="I3161" s="16" t="s">
        <v>296</v>
      </c>
      <c r="J3161" s="16">
        <v>16.778424279999999</v>
      </c>
      <c r="K3161" s="16">
        <v>-96.582357150000007</v>
      </c>
      <c r="L3161" s="16" t="str">
        <f>HYPERLINK("https://maps.google.com/?q=16.77842428,-96.58235715", "🔗 Ver Mapa")</f>
        <v>🔗 Ver Mapa</v>
      </c>
    </row>
    <row r="3162" spans="1:12" ht="43.5" x14ac:dyDescent="0.35">
      <c r="A3162" s="6" t="s">
        <v>4</v>
      </c>
      <c r="B3162" s="6" t="s">
        <v>17</v>
      </c>
      <c r="C3162" s="6" t="s">
        <v>1563</v>
      </c>
      <c r="D3162" s="11" t="s">
        <v>64</v>
      </c>
      <c r="E3162" s="17" t="s">
        <v>75</v>
      </c>
      <c r="F3162" s="17" t="s">
        <v>149</v>
      </c>
      <c r="G3162" s="11" t="s">
        <v>1561</v>
      </c>
      <c r="H3162" s="11" t="s">
        <v>1562</v>
      </c>
      <c r="I3162" s="17" t="s">
        <v>296</v>
      </c>
      <c r="J3162" s="17">
        <v>16.78019136</v>
      </c>
      <c r="K3162" s="17">
        <v>-96.577548059999998</v>
      </c>
      <c r="L3162" s="17" t="str">
        <f>HYPERLINK("https://maps.google.com/?q=16.78019136,-96.57754806", "🔗 Ver Mapa")</f>
        <v>🔗 Ver Mapa</v>
      </c>
    </row>
    <row r="3163" spans="1:12" ht="43.5" x14ac:dyDescent="0.35">
      <c r="A3163" s="5" t="s">
        <v>4</v>
      </c>
      <c r="B3163" s="5" t="s">
        <v>17</v>
      </c>
      <c r="C3163" s="5" t="s">
        <v>1563</v>
      </c>
      <c r="D3163" s="8" t="s">
        <v>64</v>
      </c>
      <c r="E3163" s="16" t="s">
        <v>75</v>
      </c>
      <c r="F3163" s="16" t="s">
        <v>149</v>
      </c>
      <c r="G3163" s="8" t="s">
        <v>1561</v>
      </c>
      <c r="H3163" s="8" t="s">
        <v>1562</v>
      </c>
      <c r="I3163" s="16" t="s">
        <v>296</v>
      </c>
      <c r="J3163" s="16">
        <v>16.78019887</v>
      </c>
      <c r="K3163" s="16">
        <v>-96.577577340000005</v>
      </c>
      <c r="L3163" s="16" t="str">
        <f>HYPERLINK("https://maps.google.com/?q=16.78019887,-96.57757734", "🔗 Ver Mapa")</f>
        <v>🔗 Ver Mapa</v>
      </c>
    </row>
    <row r="3164" spans="1:12" ht="43.5" x14ac:dyDescent="0.35">
      <c r="A3164" s="6" t="s">
        <v>4</v>
      </c>
      <c r="B3164" s="6" t="s">
        <v>17</v>
      </c>
      <c r="C3164" s="6" t="s">
        <v>1563</v>
      </c>
      <c r="D3164" s="11" t="s">
        <v>64</v>
      </c>
      <c r="E3164" s="17" t="s">
        <v>75</v>
      </c>
      <c r="F3164" s="17" t="s">
        <v>149</v>
      </c>
      <c r="G3164" s="11" t="s">
        <v>1561</v>
      </c>
      <c r="H3164" s="11" t="s">
        <v>1562</v>
      </c>
      <c r="I3164" s="17" t="s">
        <v>296</v>
      </c>
      <c r="J3164" s="17">
        <v>16.780309599999999</v>
      </c>
      <c r="K3164" s="17">
        <v>-96.578019569999995</v>
      </c>
      <c r="L3164" s="17" t="str">
        <f>HYPERLINK("https://maps.google.com/?q=16.7803096,-96.57801957", "🔗 Ver Mapa")</f>
        <v>🔗 Ver Mapa</v>
      </c>
    </row>
    <row r="3165" spans="1:12" ht="43.5" x14ac:dyDescent="0.35">
      <c r="A3165" s="5" t="s">
        <v>4</v>
      </c>
      <c r="B3165" s="5" t="s">
        <v>17</v>
      </c>
      <c r="C3165" s="5" t="s">
        <v>1563</v>
      </c>
      <c r="D3165" s="8" t="s">
        <v>64</v>
      </c>
      <c r="E3165" s="16" t="s">
        <v>75</v>
      </c>
      <c r="F3165" s="16" t="s">
        <v>149</v>
      </c>
      <c r="G3165" s="8" t="s">
        <v>1561</v>
      </c>
      <c r="H3165" s="8" t="s">
        <v>1562</v>
      </c>
      <c r="I3165" s="16" t="s">
        <v>296</v>
      </c>
      <c r="J3165" s="16">
        <v>16.780413372521998</v>
      </c>
      <c r="K3165" s="16">
        <v>-96.577053437767006</v>
      </c>
      <c r="L3165" s="16" t="str">
        <f>HYPERLINK("https://maps.google.com/?q=16.780413372522,-96.577053437767", "🔗 Ver Mapa")</f>
        <v>🔗 Ver Mapa</v>
      </c>
    </row>
    <row r="3166" spans="1:12" ht="43.5" x14ac:dyDescent="0.35">
      <c r="A3166" s="6" t="s">
        <v>4</v>
      </c>
      <c r="B3166" s="6" t="s">
        <v>17</v>
      </c>
      <c r="C3166" s="6" t="s">
        <v>1563</v>
      </c>
      <c r="D3166" s="11" t="s">
        <v>64</v>
      </c>
      <c r="E3166" s="17" t="s">
        <v>75</v>
      </c>
      <c r="F3166" s="17" t="s">
        <v>149</v>
      </c>
      <c r="G3166" s="11" t="s">
        <v>1561</v>
      </c>
      <c r="H3166" s="11" t="s">
        <v>1562</v>
      </c>
      <c r="I3166" s="17" t="s">
        <v>296</v>
      </c>
      <c r="J3166" s="17">
        <v>16.780421220784</v>
      </c>
      <c r="K3166" s="17">
        <v>-96.577082641622994</v>
      </c>
      <c r="L3166" s="17" t="str">
        <f>HYPERLINK("https://maps.google.com/?q=16.780421220784,-96.577082641623", "🔗 Ver Mapa")</f>
        <v>🔗 Ver Mapa</v>
      </c>
    </row>
    <row r="3167" spans="1:12" ht="43.5" x14ac:dyDescent="0.35">
      <c r="A3167" s="5" t="s">
        <v>4</v>
      </c>
      <c r="B3167" s="5" t="s">
        <v>17</v>
      </c>
      <c r="C3167" s="5" t="s">
        <v>1563</v>
      </c>
      <c r="D3167" s="8" t="s">
        <v>64</v>
      </c>
      <c r="E3167" s="16" t="s">
        <v>75</v>
      </c>
      <c r="F3167" s="16" t="s">
        <v>149</v>
      </c>
      <c r="G3167" s="8" t="s">
        <v>1561</v>
      </c>
      <c r="H3167" s="8" t="s">
        <v>1562</v>
      </c>
      <c r="I3167" s="16" t="s">
        <v>296</v>
      </c>
      <c r="J3167" s="16">
        <v>16.780485930000001</v>
      </c>
      <c r="K3167" s="16">
        <v>-96.577316350000004</v>
      </c>
      <c r="L3167" s="16" t="str">
        <f>HYPERLINK("https://maps.google.com/?q=16.78048593,-96.57731635", "🔗 Ver Mapa")</f>
        <v>🔗 Ver Mapa</v>
      </c>
    </row>
    <row r="3168" spans="1:12" ht="43.5" x14ac:dyDescent="0.35">
      <c r="A3168" s="6" t="s">
        <v>4</v>
      </c>
      <c r="B3168" s="6" t="s">
        <v>17</v>
      </c>
      <c r="C3168" s="6" t="s">
        <v>1563</v>
      </c>
      <c r="D3168" s="11" t="s">
        <v>64</v>
      </c>
      <c r="E3168" s="17" t="s">
        <v>75</v>
      </c>
      <c r="F3168" s="17" t="s">
        <v>149</v>
      </c>
      <c r="G3168" s="11" t="s">
        <v>1561</v>
      </c>
      <c r="H3168" s="11" t="s">
        <v>1562</v>
      </c>
      <c r="I3168" s="17" t="s">
        <v>296</v>
      </c>
      <c r="J3168" s="17">
        <v>16.78048593254</v>
      </c>
      <c r="K3168" s="17">
        <v>-96.577316346615007</v>
      </c>
      <c r="L3168" s="17" t="str">
        <f>HYPERLINK("https://maps.google.com/?q=16.78048593254,-96.577316346615", "🔗 Ver Mapa")</f>
        <v>🔗 Ver Mapa</v>
      </c>
    </row>
    <row r="3169" spans="1:12" ht="43.5" x14ac:dyDescent="0.35">
      <c r="A3169" s="5" t="s">
        <v>4</v>
      </c>
      <c r="B3169" s="5" t="s">
        <v>17</v>
      </c>
      <c r="C3169" s="5" t="s">
        <v>1563</v>
      </c>
      <c r="D3169" s="8" t="s">
        <v>64</v>
      </c>
      <c r="E3169" s="16" t="s">
        <v>75</v>
      </c>
      <c r="F3169" s="16" t="s">
        <v>149</v>
      </c>
      <c r="G3169" s="8" t="s">
        <v>1561</v>
      </c>
      <c r="H3169" s="8" t="s">
        <v>1562</v>
      </c>
      <c r="I3169" s="16" t="s">
        <v>296</v>
      </c>
      <c r="J3169" s="16">
        <v>16.780516330000001</v>
      </c>
      <c r="K3169" s="16">
        <v>-96.577456519999998</v>
      </c>
      <c r="L3169" s="16" t="str">
        <f>HYPERLINK("https://maps.google.com/?q=16.78051633,-96.57745652", "🔗 Ver Mapa")</f>
        <v>🔗 Ver Mapa</v>
      </c>
    </row>
    <row r="3170" spans="1:12" ht="43.5" x14ac:dyDescent="0.35">
      <c r="A3170" s="6" t="s">
        <v>4</v>
      </c>
      <c r="B3170" s="6" t="s">
        <v>17</v>
      </c>
      <c r="C3170" s="6" t="s">
        <v>1563</v>
      </c>
      <c r="D3170" s="11" t="s">
        <v>64</v>
      </c>
      <c r="E3170" s="17" t="s">
        <v>75</v>
      </c>
      <c r="F3170" s="17" t="s">
        <v>149</v>
      </c>
      <c r="G3170" s="11" t="s">
        <v>1561</v>
      </c>
      <c r="H3170" s="11" t="s">
        <v>1562</v>
      </c>
      <c r="I3170" s="17" t="s">
        <v>296</v>
      </c>
      <c r="J3170" s="17">
        <v>16.780856780000001</v>
      </c>
      <c r="K3170" s="17">
        <v>-96.577204530000003</v>
      </c>
      <c r="L3170" s="17" t="str">
        <f>HYPERLINK("https://maps.google.com/?q=16.78085678,-96.57720453", "🔗 Ver Mapa")</f>
        <v>🔗 Ver Mapa</v>
      </c>
    </row>
    <row r="3171" spans="1:12" ht="43.5" x14ac:dyDescent="0.35">
      <c r="A3171" s="5" t="s">
        <v>4</v>
      </c>
      <c r="B3171" s="5" t="s">
        <v>17</v>
      </c>
      <c r="C3171" s="5" t="s">
        <v>1563</v>
      </c>
      <c r="D3171" s="8" t="s">
        <v>64</v>
      </c>
      <c r="E3171" s="16" t="s">
        <v>75</v>
      </c>
      <c r="F3171" s="16" t="s">
        <v>149</v>
      </c>
      <c r="G3171" s="8" t="s">
        <v>1561</v>
      </c>
      <c r="H3171" s="8" t="s">
        <v>1562</v>
      </c>
      <c r="I3171" s="16" t="s">
        <v>296</v>
      </c>
      <c r="J3171" s="16">
        <v>16.783221924702001</v>
      </c>
      <c r="K3171" s="16">
        <v>-96.567546566599006</v>
      </c>
      <c r="L3171" s="16" t="str">
        <f>HYPERLINK("https://maps.google.com/?q=16.783221924702,-96.567546566599", "🔗 Ver Mapa")</f>
        <v>🔗 Ver Mapa</v>
      </c>
    </row>
    <row r="3172" spans="1:12" ht="43.5" x14ac:dyDescent="0.35">
      <c r="A3172" s="6" t="s">
        <v>4</v>
      </c>
      <c r="B3172" s="6" t="s">
        <v>17</v>
      </c>
      <c r="C3172" s="6" t="s">
        <v>1563</v>
      </c>
      <c r="D3172" s="11" t="s">
        <v>64</v>
      </c>
      <c r="E3172" s="17" t="s">
        <v>75</v>
      </c>
      <c r="F3172" s="17" t="s">
        <v>149</v>
      </c>
      <c r="G3172" s="11" t="s">
        <v>1561</v>
      </c>
      <c r="H3172" s="11" t="s">
        <v>1562</v>
      </c>
      <c r="I3172" s="17" t="s">
        <v>296</v>
      </c>
      <c r="J3172" s="17">
        <v>16.783227918899001</v>
      </c>
      <c r="K3172" s="17">
        <v>-96.567509564179005</v>
      </c>
      <c r="L3172" s="17" t="str">
        <f>HYPERLINK("https://maps.google.com/?q=16.783227918899,-96.567509564179", "🔗 Ver Mapa")</f>
        <v>🔗 Ver Mapa</v>
      </c>
    </row>
    <row r="3173" spans="1:12" ht="43.5" x14ac:dyDescent="0.35">
      <c r="A3173" s="5" t="s">
        <v>4</v>
      </c>
      <c r="B3173" s="5" t="s">
        <v>17</v>
      </c>
      <c r="C3173" s="5" t="s">
        <v>1563</v>
      </c>
      <c r="D3173" s="8" t="s">
        <v>64</v>
      </c>
      <c r="E3173" s="16" t="s">
        <v>75</v>
      </c>
      <c r="F3173" s="16" t="s">
        <v>149</v>
      </c>
      <c r="G3173" s="8" t="s">
        <v>1561</v>
      </c>
      <c r="H3173" s="8" t="s">
        <v>1562</v>
      </c>
      <c r="I3173" s="16" t="s">
        <v>296</v>
      </c>
      <c r="J3173" s="16">
        <v>16.783235921780999</v>
      </c>
      <c r="K3173" s="16">
        <v>-96.567603568495002</v>
      </c>
      <c r="L3173" s="16" t="str">
        <f>HYPERLINK("https://maps.google.com/?q=16.783235921781,-96.567603568495", "🔗 Ver Mapa")</f>
        <v>🔗 Ver Mapa</v>
      </c>
    </row>
    <row r="3174" spans="1:12" ht="43.5" x14ac:dyDescent="0.35">
      <c r="A3174" s="6" t="s">
        <v>4</v>
      </c>
      <c r="B3174" s="6" t="s">
        <v>17</v>
      </c>
      <c r="C3174" s="6" t="s">
        <v>1563</v>
      </c>
      <c r="D3174" s="11" t="s">
        <v>64</v>
      </c>
      <c r="E3174" s="17" t="s">
        <v>75</v>
      </c>
      <c r="F3174" s="17" t="s">
        <v>149</v>
      </c>
      <c r="G3174" s="11" t="s">
        <v>1561</v>
      </c>
      <c r="H3174" s="11" t="s">
        <v>1562</v>
      </c>
      <c r="I3174" s="17" t="s">
        <v>296</v>
      </c>
      <c r="J3174" s="17">
        <v>16.783238924054999</v>
      </c>
      <c r="K3174" s="17">
        <v>-96.567416564951003</v>
      </c>
      <c r="L3174" s="17" t="str">
        <f>HYPERLINK("https://maps.google.com/?q=16.783238924055,-96.567416564951", "🔗 Ver Mapa")</f>
        <v>🔗 Ver Mapa</v>
      </c>
    </row>
    <row r="3175" spans="1:12" ht="43.5" x14ac:dyDescent="0.35">
      <c r="A3175" s="5" t="s">
        <v>4</v>
      </c>
      <c r="B3175" s="5" t="s">
        <v>17</v>
      </c>
      <c r="C3175" s="5" t="s">
        <v>1563</v>
      </c>
      <c r="D3175" s="8" t="s">
        <v>64</v>
      </c>
      <c r="E3175" s="16" t="s">
        <v>75</v>
      </c>
      <c r="F3175" s="16" t="s">
        <v>149</v>
      </c>
      <c r="G3175" s="8" t="s">
        <v>1561</v>
      </c>
      <c r="H3175" s="8" t="s">
        <v>1562</v>
      </c>
      <c r="I3175" s="16" t="s">
        <v>296</v>
      </c>
      <c r="J3175" s="16">
        <v>16.783265925174</v>
      </c>
      <c r="K3175" s="16">
        <v>-96.567355562174001</v>
      </c>
      <c r="L3175" s="16" t="str">
        <f>HYPERLINK("https://maps.google.com/?q=16.783265925174,-96.567355562174", "🔗 Ver Mapa")</f>
        <v>🔗 Ver Mapa</v>
      </c>
    </row>
    <row r="3176" spans="1:12" ht="43.5" x14ac:dyDescent="0.35">
      <c r="A3176" s="6" t="s">
        <v>4</v>
      </c>
      <c r="B3176" s="6" t="s">
        <v>17</v>
      </c>
      <c r="C3176" s="6" t="s">
        <v>1563</v>
      </c>
      <c r="D3176" s="11" t="s">
        <v>64</v>
      </c>
      <c r="E3176" s="17" t="s">
        <v>75</v>
      </c>
      <c r="F3176" s="17" t="s">
        <v>149</v>
      </c>
      <c r="G3176" s="11" t="s">
        <v>1561</v>
      </c>
      <c r="H3176" s="11" t="s">
        <v>1562</v>
      </c>
      <c r="I3176" s="17" t="s">
        <v>296</v>
      </c>
      <c r="J3176" s="17">
        <v>16.783289922575001</v>
      </c>
      <c r="K3176" s="17">
        <v>-96.567818567638</v>
      </c>
      <c r="L3176" s="17" t="str">
        <f>HYPERLINK("https://maps.google.com/?q=16.783289922575,-96.567818567638", "🔗 Ver Mapa")</f>
        <v>🔗 Ver Mapa</v>
      </c>
    </row>
    <row r="3177" spans="1:12" ht="43.5" x14ac:dyDescent="0.35">
      <c r="A3177" s="5" t="s">
        <v>4</v>
      </c>
      <c r="B3177" s="5" t="s">
        <v>17</v>
      </c>
      <c r="C3177" s="5" t="s">
        <v>1563</v>
      </c>
      <c r="D3177" s="8" t="s">
        <v>64</v>
      </c>
      <c r="E3177" s="16" t="s">
        <v>75</v>
      </c>
      <c r="F3177" s="16" t="s">
        <v>149</v>
      </c>
      <c r="G3177" s="8" t="s">
        <v>1561</v>
      </c>
      <c r="H3177" s="8" t="s">
        <v>1562</v>
      </c>
      <c r="I3177" s="16" t="s">
        <v>296</v>
      </c>
      <c r="J3177" s="16">
        <v>16.783326924311002</v>
      </c>
      <c r="K3177" s="16">
        <v>-96.567910561863997</v>
      </c>
      <c r="L3177" s="16" t="str">
        <f>HYPERLINK("https://maps.google.com/?q=16.783326924311,-96.567910561864", "🔗 Ver Mapa")</f>
        <v>🔗 Ver Mapa</v>
      </c>
    </row>
    <row r="3178" spans="1:12" ht="43.5" x14ac:dyDescent="0.35">
      <c r="A3178" s="6" t="s">
        <v>4</v>
      </c>
      <c r="B3178" s="6" t="s">
        <v>17</v>
      </c>
      <c r="C3178" s="6" t="s">
        <v>1563</v>
      </c>
      <c r="D3178" s="11" t="s">
        <v>64</v>
      </c>
      <c r="E3178" s="17" t="s">
        <v>75</v>
      </c>
      <c r="F3178" s="17" t="s">
        <v>149</v>
      </c>
      <c r="G3178" s="11" t="s">
        <v>1561</v>
      </c>
      <c r="H3178" s="11" t="s">
        <v>1562</v>
      </c>
      <c r="I3178" s="17" t="s">
        <v>296</v>
      </c>
      <c r="J3178" s="17">
        <v>16.78333491859</v>
      </c>
      <c r="K3178" s="17">
        <v>-96.567115564066</v>
      </c>
      <c r="L3178" s="17" t="str">
        <f>HYPERLINK("https://maps.google.com/?q=16.78333491859,-96.567115564066", "🔗 Ver Mapa")</f>
        <v>🔗 Ver Mapa</v>
      </c>
    </row>
    <row r="3179" spans="1:12" ht="43.5" x14ac:dyDescent="0.35">
      <c r="A3179" s="5" t="s">
        <v>4</v>
      </c>
      <c r="B3179" s="5" t="s">
        <v>17</v>
      </c>
      <c r="C3179" s="5" t="s">
        <v>1563</v>
      </c>
      <c r="D3179" s="8" t="s">
        <v>64</v>
      </c>
      <c r="E3179" s="16" t="s">
        <v>75</v>
      </c>
      <c r="F3179" s="16" t="s">
        <v>149</v>
      </c>
      <c r="G3179" s="8" t="s">
        <v>1561</v>
      </c>
      <c r="H3179" s="8" t="s">
        <v>1562</v>
      </c>
      <c r="I3179" s="16" t="s">
        <v>296</v>
      </c>
      <c r="J3179" s="16">
        <v>16.78338492492</v>
      </c>
      <c r="K3179" s="16">
        <v>-96.568040565198004</v>
      </c>
      <c r="L3179" s="16" t="str">
        <f>HYPERLINK("https://maps.google.com/?q=16.78338492492,-96.568040565198", "🔗 Ver Mapa")</f>
        <v>🔗 Ver Mapa</v>
      </c>
    </row>
    <row r="3180" spans="1:12" ht="43.5" x14ac:dyDescent="0.35">
      <c r="A3180" s="6" t="s">
        <v>4</v>
      </c>
      <c r="B3180" s="6" t="s">
        <v>17</v>
      </c>
      <c r="C3180" s="6" t="s">
        <v>1563</v>
      </c>
      <c r="D3180" s="11" t="s">
        <v>64</v>
      </c>
      <c r="E3180" s="17" t="s">
        <v>75</v>
      </c>
      <c r="F3180" s="17" t="s">
        <v>149</v>
      </c>
      <c r="G3180" s="11" t="s">
        <v>1561</v>
      </c>
      <c r="H3180" s="11" t="s">
        <v>1562</v>
      </c>
      <c r="I3180" s="17" t="s">
        <v>296</v>
      </c>
      <c r="J3180" s="17">
        <v>16.783395923754998</v>
      </c>
      <c r="K3180" s="17">
        <v>-96.567062567331007</v>
      </c>
      <c r="L3180" s="17" t="str">
        <f>HYPERLINK("https://maps.google.com/?q=16.783395923755,-96.567062567331", "🔗 Ver Mapa")</f>
        <v>🔗 Ver Mapa</v>
      </c>
    </row>
    <row r="3181" spans="1:12" ht="43.5" x14ac:dyDescent="0.35">
      <c r="A3181" s="5" t="s">
        <v>4</v>
      </c>
      <c r="B3181" s="5" t="s">
        <v>17</v>
      </c>
      <c r="C3181" s="5" t="s">
        <v>1563</v>
      </c>
      <c r="D3181" s="8" t="s">
        <v>64</v>
      </c>
      <c r="E3181" s="16" t="s">
        <v>75</v>
      </c>
      <c r="F3181" s="16" t="s">
        <v>149</v>
      </c>
      <c r="G3181" s="8" t="s">
        <v>1561</v>
      </c>
      <c r="H3181" s="8" t="s">
        <v>1562</v>
      </c>
      <c r="I3181" s="16" t="s">
        <v>296</v>
      </c>
      <c r="J3181" s="16">
        <v>16.783443925252001</v>
      </c>
      <c r="K3181" s="16">
        <v>-96.568169561942</v>
      </c>
      <c r="L3181" s="16" t="str">
        <f>HYPERLINK("https://maps.google.com/?q=16.783443925252,-96.568169561942", "🔗 Ver Mapa")</f>
        <v>🔗 Ver Mapa</v>
      </c>
    </row>
    <row r="3182" spans="1:12" ht="43.5" x14ac:dyDescent="0.35">
      <c r="A3182" s="6" t="s">
        <v>4</v>
      </c>
      <c r="B3182" s="6" t="s">
        <v>17</v>
      </c>
      <c r="C3182" s="6" t="s">
        <v>1563</v>
      </c>
      <c r="D3182" s="11" t="s">
        <v>64</v>
      </c>
      <c r="E3182" s="17" t="s">
        <v>75</v>
      </c>
      <c r="F3182" s="17" t="s">
        <v>149</v>
      </c>
      <c r="G3182" s="11" t="s">
        <v>1561</v>
      </c>
      <c r="H3182" s="11" t="s">
        <v>1562</v>
      </c>
      <c r="I3182" s="17" t="s">
        <v>296</v>
      </c>
      <c r="J3182" s="17">
        <v>16.783470925336999</v>
      </c>
      <c r="K3182" s="17">
        <v>-96.566962564191996</v>
      </c>
      <c r="L3182" s="17" t="str">
        <f>HYPERLINK("https://maps.google.com/?q=16.783470925337,-96.566962564192", "🔗 Ver Mapa")</f>
        <v>🔗 Ver Mapa</v>
      </c>
    </row>
    <row r="3183" spans="1:12" ht="43.5" x14ac:dyDescent="0.35">
      <c r="A3183" s="5" t="s">
        <v>4</v>
      </c>
      <c r="B3183" s="5" t="s">
        <v>17</v>
      </c>
      <c r="C3183" s="5" t="s">
        <v>1563</v>
      </c>
      <c r="D3183" s="8" t="s">
        <v>64</v>
      </c>
      <c r="E3183" s="16" t="s">
        <v>75</v>
      </c>
      <c r="F3183" s="16" t="s">
        <v>149</v>
      </c>
      <c r="G3183" s="8" t="s">
        <v>1561</v>
      </c>
      <c r="H3183" s="8" t="s">
        <v>1562</v>
      </c>
      <c r="I3183" s="16" t="s">
        <v>296</v>
      </c>
      <c r="J3183" s="16">
        <v>16.783519926269001</v>
      </c>
      <c r="K3183" s="16">
        <v>-96.568360567363996</v>
      </c>
      <c r="L3183" s="16" t="str">
        <f>HYPERLINK("https://maps.google.com/?q=16.783519926269,-96.568360567364", "🔗 Ver Mapa")</f>
        <v>🔗 Ver Mapa</v>
      </c>
    </row>
    <row r="3184" spans="1:12" ht="43.5" x14ac:dyDescent="0.35">
      <c r="A3184" s="6" t="s">
        <v>4</v>
      </c>
      <c r="B3184" s="6" t="s">
        <v>17</v>
      </c>
      <c r="C3184" s="6" t="s">
        <v>1563</v>
      </c>
      <c r="D3184" s="11" t="s">
        <v>64</v>
      </c>
      <c r="E3184" s="17" t="s">
        <v>75</v>
      </c>
      <c r="F3184" s="17" t="s">
        <v>149</v>
      </c>
      <c r="G3184" s="11" t="s">
        <v>1561</v>
      </c>
      <c r="H3184" s="11" t="s">
        <v>1562</v>
      </c>
      <c r="I3184" s="17" t="s">
        <v>296</v>
      </c>
      <c r="J3184" s="17">
        <v>16.783528924386001</v>
      </c>
      <c r="K3184" s="17">
        <v>-96.568458563169003</v>
      </c>
      <c r="L3184" s="17" t="str">
        <f>HYPERLINK("https://maps.google.com/?q=16.783528924386,-96.568458563169", "🔗 Ver Mapa")</f>
        <v>🔗 Ver Mapa</v>
      </c>
    </row>
    <row r="3185" spans="1:12" ht="43.5" x14ac:dyDescent="0.35">
      <c r="A3185" s="5" t="s">
        <v>4</v>
      </c>
      <c r="B3185" s="5" t="s">
        <v>17</v>
      </c>
      <c r="C3185" s="5" t="s">
        <v>1563</v>
      </c>
      <c r="D3185" s="8" t="s">
        <v>64</v>
      </c>
      <c r="E3185" s="16" t="s">
        <v>75</v>
      </c>
      <c r="F3185" s="16" t="s">
        <v>149</v>
      </c>
      <c r="G3185" s="8" t="s">
        <v>1561</v>
      </c>
      <c r="H3185" s="8" t="s">
        <v>1562</v>
      </c>
      <c r="I3185" s="16" t="s">
        <v>296</v>
      </c>
      <c r="J3185" s="16">
        <v>16.783587923536999</v>
      </c>
      <c r="K3185" s="16">
        <v>-96.566837571158004</v>
      </c>
      <c r="L3185" s="16" t="str">
        <f>HYPERLINK("https://maps.google.com/?q=16.783587923537,-96.566837571158", "🔗 Ver Mapa")</f>
        <v>🔗 Ver Mapa</v>
      </c>
    </row>
    <row r="3186" spans="1:12" ht="43.5" x14ac:dyDescent="0.35">
      <c r="A3186" s="6" t="s">
        <v>4</v>
      </c>
      <c r="B3186" s="6" t="s">
        <v>17</v>
      </c>
      <c r="C3186" s="6" t="s">
        <v>1563</v>
      </c>
      <c r="D3186" s="11" t="s">
        <v>64</v>
      </c>
      <c r="E3186" s="17" t="s">
        <v>75</v>
      </c>
      <c r="F3186" s="17" t="s">
        <v>149</v>
      </c>
      <c r="G3186" s="11" t="s">
        <v>1561</v>
      </c>
      <c r="H3186" s="11" t="s">
        <v>1562</v>
      </c>
      <c r="I3186" s="17" t="s">
        <v>296</v>
      </c>
      <c r="J3186" s="17">
        <v>16.783678925337998</v>
      </c>
      <c r="K3186" s="17">
        <v>-96.568767563479994</v>
      </c>
      <c r="L3186" s="17" t="str">
        <f>HYPERLINK("https://maps.google.com/?q=16.783678925338,-96.56876756348", "🔗 Ver Mapa")</f>
        <v>🔗 Ver Mapa</v>
      </c>
    </row>
    <row r="3187" spans="1:12" ht="43.5" x14ac:dyDescent="0.35">
      <c r="A3187" s="5" t="s">
        <v>4</v>
      </c>
      <c r="B3187" s="5" t="s">
        <v>17</v>
      </c>
      <c r="C3187" s="5" t="s">
        <v>1563</v>
      </c>
      <c r="D3187" s="8" t="s">
        <v>64</v>
      </c>
      <c r="E3187" s="16" t="s">
        <v>75</v>
      </c>
      <c r="F3187" s="16" t="s">
        <v>149</v>
      </c>
      <c r="G3187" s="8" t="s">
        <v>1561</v>
      </c>
      <c r="H3187" s="8" t="s">
        <v>1562</v>
      </c>
      <c r="I3187" s="16" t="s">
        <v>296</v>
      </c>
      <c r="J3187" s="16">
        <v>16.783707918760999</v>
      </c>
      <c r="K3187" s="16">
        <v>-96.568841562632997</v>
      </c>
      <c r="L3187" s="16" t="str">
        <f>HYPERLINK("https://maps.google.com/?q=16.783707918761,-96.568841562633", "🔗 Ver Mapa")</f>
        <v>🔗 Ver Mapa</v>
      </c>
    </row>
    <row r="3188" spans="1:12" ht="43.5" x14ac:dyDescent="0.35">
      <c r="A3188" s="6" t="s">
        <v>4</v>
      </c>
      <c r="B3188" s="6" t="s">
        <v>17</v>
      </c>
      <c r="C3188" s="6" t="s">
        <v>1563</v>
      </c>
      <c r="D3188" s="11" t="s">
        <v>64</v>
      </c>
      <c r="E3188" s="17" t="s">
        <v>75</v>
      </c>
      <c r="F3188" s="17" t="s">
        <v>149</v>
      </c>
      <c r="G3188" s="11" t="s">
        <v>1561</v>
      </c>
      <c r="H3188" s="11" t="s">
        <v>1562</v>
      </c>
      <c r="I3188" s="17" t="s">
        <v>296</v>
      </c>
      <c r="J3188" s="17">
        <v>16.783735924359</v>
      </c>
      <c r="K3188" s="17">
        <v>-96.566690569336004</v>
      </c>
      <c r="L3188" s="17" t="str">
        <f>HYPERLINK("https://maps.google.com/?q=16.783735924359,-96.566690569336", "🔗 Ver Mapa")</f>
        <v>🔗 Ver Mapa</v>
      </c>
    </row>
    <row r="3189" spans="1:12" ht="43.5" x14ac:dyDescent="0.35">
      <c r="A3189" s="5" t="s">
        <v>4</v>
      </c>
      <c r="B3189" s="5" t="s">
        <v>17</v>
      </c>
      <c r="C3189" s="5" t="s">
        <v>1563</v>
      </c>
      <c r="D3189" s="8" t="s">
        <v>64</v>
      </c>
      <c r="E3189" s="16" t="s">
        <v>75</v>
      </c>
      <c r="F3189" s="16" t="s">
        <v>149</v>
      </c>
      <c r="G3189" s="8" t="s">
        <v>1561</v>
      </c>
      <c r="H3189" s="8" t="s">
        <v>1562</v>
      </c>
      <c r="I3189" s="16" t="s">
        <v>296</v>
      </c>
      <c r="J3189" s="16">
        <v>16.783786924864</v>
      </c>
      <c r="K3189" s="16">
        <v>-96.569093564659994</v>
      </c>
      <c r="L3189" s="16" t="str">
        <f>HYPERLINK("https://maps.google.com/?q=16.783786924864,-96.56909356466", "🔗 Ver Mapa")</f>
        <v>🔗 Ver Mapa</v>
      </c>
    </row>
    <row r="3190" spans="1:12" ht="43.5" x14ac:dyDescent="0.35">
      <c r="A3190" s="6" t="s">
        <v>4</v>
      </c>
      <c r="B3190" s="6" t="s">
        <v>17</v>
      </c>
      <c r="C3190" s="6" t="s">
        <v>1563</v>
      </c>
      <c r="D3190" s="11" t="s">
        <v>64</v>
      </c>
      <c r="E3190" s="17" t="s">
        <v>75</v>
      </c>
      <c r="F3190" s="17" t="s">
        <v>149</v>
      </c>
      <c r="G3190" s="11" t="s">
        <v>1561</v>
      </c>
      <c r="H3190" s="11" t="s">
        <v>1562</v>
      </c>
      <c r="I3190" s="17" t="s">
        <v>296</v>
      </c>
      <c r="J3190" s="17">
        <v>16.783826924437999</v>
      </c>
      <c r="K3190" s="17">
        <v>-96.569354568117006</v>
      </c>
      <c r="L3190" s="17" t="str">
        <f>HYPERLINK("https://maps.google.com/?q=16.783826924438,-96.569354568117", "🔗 Ver Mapa")</f>
        <v>🔗 Ver Mapa</v>
      </c>
    </row>
    <row r="3191" spans="1:12" ht="43.5" x14ac:dyDescent="0.35">
      <c r="A3191" s="5" t="s">
        <v>4</v>
      </c>
      <c r="B3191" s="5" t="s">
        <v>17</v>
      </c>
      <c r="C3191" s="5" t="s">
        <v>1563</v>
      </c>
      <c r="D3191" s="8" t="s">
        <v>64</v>
      </c>
      <c r="E3191" s="16" t="s">
        <v>75</v>
      </c>
      <c r="F3191" s="16" t="s">
        <v>149</v>
      </c>
      <c r="G3191" s="8" t="s">
        <v>1561</v>
      </c>
      <c r="H3191" s="8" t="s">
        <v>1562</v>
      </c>
      <c r="I3191" s="16" t="s">
        <v>296</v>
      </c>
      <c r="J3191" s="16">
        <v>16.783860919009001</v>
      </c>
      <c r="K3191" s="16">
        <v>-96.569440562509001</v>
      </c>
      <c r="L3191" s="16" t="str">
        <f>HYPERLINK("https://maps.google.com/?q=16.783860919009,-96.569440562509", "🔗 Ver Mapa")</f>
        <v>🔗 Ver Mapa</v>
      </c>
    </row>
    <row r="3192" spans="1:12" ht="43.5" x14ac:dyDescent="0.35">
      <c r="A3192" s="6" t="s">
        <v>4</v>
      </c>
      <c r="B3192" s="6" t="s">
        <v>17</v>
      </c>
      <c r="C3192" s="6" t="s">
        <v>1563</v>
      </c>
      <c r="D3192" s="11" t="s">
        <v>64</v>
      </c>
      <c r="E3192" s="17" t="s">
        <v>75</v>
      </c>
      <c r="F3192" s="17" t="s">
        <v>149</v>
      </c>
      <c r="G3192" s="11" t="s">
        <v>1561</v>
      </c>
      <c r="H3192" s="11" t="s">
        <v>1562</v>
      </c>
      <c r="I3192" s="17" t="s">
        <v>296</v>
      </c>
      <c r="J3192" s="17">
        <v>16.783892922315001</v>
      </c>
      <c r="K3192" s="17">
        <v>-96.566595569433005</v>
      </c>
      <c r="L3192" s="17" t="str">
        <f>HYPERLINK("https://maps.google.com/?q=16.783892922315,-96.566595569433", "🔗 Ver Mapa")</f>
        <v>🔗 Ver Mapa</v>
      </c>
    </row>
    <row r="3193" spans="1:12" ht="43.5" x14ac:dyDescent="0.35">
      <c r="A3193" s="5" t="s">
        <v>4</v>
      </c>
      <c r="B3193" s="5" t="s">
        <v>17</v>
      </c>
      <c r="C3193" s="5" t="s">
        <v>1563</v>
      </c>
      <c r="D3193" s="8" t="s">
        <v>64</v>
      </c>
      <c r="E3193" s="16" t="s">
        <v>75</v>
      </c>
      <c r="F3193" s="16" t="s">
        <v>149</v>
      </c>
      <c r="G3193" s="8" t="s">
        <v>1561</v>
      </c>
      <c r="H3193" s="8" t="s">
        <v>1562</v>
      </c>
      <c r="I3193" s="16" t="s">
        <v>296</v>
      </c>
      <c r="J3193" s="16">
        <v>16.783906923785</v>
      </c>
      <c r="K3193" s="16">
        <v>-96.566579562875006</v>
      </c>
      <c r="L3193" s="16" t="str">
        <f>HYPERLINK("https://maps.google.com/?q=16.783906923785,-96.566579562875", "🔗 Ver Mapa")</f>
        <v>🔗 Ver Mapa</v>
      </c>
    </row>
    <row r="3194" spans="1:12" ht="43.5" x14ac:dyDescent="0.35">
      <c r="A3194" s="6" t="s">
        <v>4</v>
      </c>
      <c r="B3194" s="6" t="s">
        <v>17</v>
      </c>
      <c r="C3194" s="6" t="s">
        <v>1563</v>
      </c>
      <c r="D3194" s="11" t="s">
        <v>64</v>
      </c>
      <c r="E3194" s="17" t="s">
        <v>75</v>
      </c>
      <c r="F3194" s="17" t="s">
        <v>149</v>
      </c>
      <c r="G3194" s="11" t="s">
        <v>1561</v>
      </c>
      <c r="H3194" s="11" t="s">
        <v>1562</v>
      </c>
      <c r="I3194" s="17" t="s">
        <v>296</v>
      </c>
      <c r="J3194" s="17">
        <v>16.783921924447998</v>
      </c>
      <c r="K3194" s="17">
        <v>-96.569478569180006</v>
      </c>
      <c r="L3194" s="17" t="str">
        <f>HYPERLINK("https://maps.google.com/?q=16.783921924448,-96.56947856918", "🔗 Ver Mapa")</f>
        <v>🔗 Ver Mapa</v>
      </c>
    </row>
    <row r="3195" spans="1:12" ht="43.5" x14ac:dyDescent="0.35">
      <c r="A3195" s="5" t="s">
        <v>4</v>
      </c>
      <c r="B3195" s="5" t="s">
        <v>17</v>
      </c>
      <c r="C3195" s="5" t="s">
        <v>1563</v>
      </c>
      <c r="D3195" s="8" t="s">
        <v>64</v>
      </c>
      <c r="E3195" s="16" t="s">
        <v>75</v>
      </c>
      <c r="F3195" s="16" t="s">
        <v>149</v>
      </c>
      <c r="G3195" s="8" t="s">
        <v>1561</v>
      </c>
      <c r="H3195" s="8" t="s">
        <v>1562</v>
      </c>
      <c r="I3195" s="16" t="s">
        <v>296</v>
      </c>
      <c r="J3195" s="16">
        <v>16.783922921007001</v>
      </c>
      <c r="K3195" s="16">
        <v>-96.566566569005005</v>
      </c>
      <c r="L3195" s="16" t="str">
        <f>HYPERLINK("https://maps.google.com/?q=16.783922921007,-96.566566569005", "🔗 Ver Mapa")</f>
        <v>🔗 Ver Mapa</v>
      </c>
    </row>
    <row r="3196" spans="1:12" ht="43.5" x14ac:dyDescent="0.35">
      <c r="A3196" s="6" t="s">
        <v>4</v>
      </c>
      <c r="B3196" s="6" t="s">
        <v>17</v>
      </c>
      <c r="C3196" s="6" t="s">
        <v>1563</v>
      </c>
      <c r="D3196" s="11" t="s">
        <v>64</v>
      </c>
      <c r="E3196" s="17" t="s">
        <v>75</v>
      </c>
      <c r="F3196" s="17" t="s">
        <v>149</v>
      </c>
      <c r="G3196" s="11" t="s">
        <v>1561</v>
      </c>
      <c r="H3196" s="11" t="s">
        <v>1562</v>
      </c>
      <c r="I3196" s="17" t="s">
        <v>296</v>
      </c>
      <c r="J3196" s="17">
        <v>16.783999919873999</v>
      </c>
      <c r="K3196" s="17">
        <v>-96.566528568123005</v>
      </c>
      <c r="L3196" s="17" t="str">
        <f>HYPERLINK("https://maps.google.com/?q=16.783999919874,-96.566528568123", "🔗 Ver Mapa")</f>
        <v>🔗 Ver Mapa</v>
      </c>
    </row>
    <row r="3197" spans="1:12" ht="43.5" x14ac:dyDescent="0.35">
      <c r="A3197" s="5" t="s">
        <v>4</v>
      </c>
      <c r="B3197" s="5" t="s">
        <v>17</v>
      </c>
      <c r="C3197" s="5" t="s">
        <v>1563</v>
      </c>
      <c r="D3197" s="8" t="s">
        <v>64</v>
      </c>
      <c r="E3197" s="16" t="s">
        <v>75</v>
      </c>
      <c r="F3197" s="16" t="s">
        <v>149</v>
      </c>
      <c r="G3197" s="8" t="s">
        <v>1561</v>
      </c>
      <c r="H3197" s="8" t="s">
        <v>1562</v>
      </c>
      <c r="I3197" s="16" t="s">
        <v>296</v>
      </c>
      <c r="J3197" s="16">
        <v>16.784046926916002</v>
      </c>
      <c r="K3197" s="16">
        <v>-96.566515563649006</v>
      </c>
      <c r="L3197" s="16" t="str">
        <f>HYPERLINK("https://maps.google.com/?q=16.784046926916,-96.566515563649", "🔗 Ver Mapa")</f>
        <v>🔗 Ver Mapa</v>
      </c>
    </row>
    <row r="3198" spans="1:12" ht="43.5" x14ac:dyDescent="0.35">
      <c r="A3198" s="6" t="s">
        <v>4</v>
      </c>
      <c r="B3198" s="6" t="s">
        <v>17</v>
      </c>
      <c r="C3198" s="6" t="s">
        <v>1563</v>
      </c>
      <c r="D3198" s="11" t="s">
        <v>64</v>
      </c>
      <c r="E3198" s="17" t="s">
        <v>75</v>
      </c>
      <c r="F3198" s="17" t="s">
        <v>149</v>
      </c>
      <c r="G3198" s="11" t="s">
        <v>1561</v>
      </c>
      <c r="H3198" s="11" t="s">
        <v>1562</v>
      </c>
      <c r="I3198" s="17" t="s">
        <v>296</v>
      </c>
      <c r="J3198" s="17">
        <v>16.784102919340999</v>
      </c>
      <c r="K3198" s="17">
        <v>-96.569557564123002</v>
      </c>
      <c r="L3198" s="17" t="str">
        <f>HYPERLINK("https://maps.google.com/?q=16.784102919341,-96.569557564123", "🔗 Ver Mapa")</f>
        <v>🔗 Ver Mapa</v>
      </c>
    </row>
    <row r="3199" spans="1:12" ht="43.5" x14ac:dyDescent="0.35">
      <c r="A3199" s="5" t="s">
        <v>4</v>
      </c>
      <c r="B3199" s="5" t="s">
        <v>17</v>
      </c>
      <c r="C3199" s="5" t="s">
        <v>1563</v>
      </c>
      <c r="D3199" s="8" t="s">
        <v>64</v>
      </c>
      <c r="E3199" s="16" t="s">
        <v>75</v>
      </c>
      <c r="F3199" s="16" t="s">
        <v>149</v>
      </c>
      <c r="G3199" s="8" t="s">
        <v>1561</v>
      </c>
      <c r="H3199" s="8" t="s">
        <v>1562</v>
      </c>
      <c r="I3199" s="16" t="s">
        <v>296</v>
      </c>
      <c r="J3199" s="16">
        <v>16.784152925015999</v>
      </c>
      <c r="K3199" s="16">
        <v>-96.566488567459999</v>
      </c>
      <c r="L3199" s="16" t="str">
        <f>HYPERLINK("https://maps.google.com/?q=16.784152925016,-96.56648856746", "🔗 Ver Mapa")</f>
        <v>🔗 Ver Mapa</v>
      </c>
    </row>
    <row r="3200" spans="1:12" ht="43.5" x14ac:dyDescent="0.35">
      <c r="A3200" s="6" t="s">
        <v>4</v>
      </c>
      <c r="B3200" s="6" t="s">
        <v>17</v>
      </c>
      <c r="C3200" s="6" t="s">
        <v>1563</v>
      </c>
      <c r="D3200" s="11" t="s">
        <v>64</v>
      </c>
      <c r="E3200" s="17" t="s">
        <v>75</v>
      </c>
      <c r="F3200" s="17" t="s">
        <v>149</v>
      </c>
      <c r="G3200" s="11" t="s">
        <v>1561</v>
      </c>
      <c r="H3200" s="11" t="s">
        <v>1562</v>
      </c>
      <c r="I3200" s="17" t="s">
        <v>296</v>
      </c>
      <c r="J3200" s="17">
        <v>16.784224918488</v>
      </c>
      <c r="K3200" s="17">
        <v>-96.56646957161</v>
      </c>
      <c r="L3200" s="17" t="str">
        <f>HYPERLINK("https://maps.google.com/?q=16.784224918488,-96.56646957161", "🔗 Ver Mapa")</f>
        <v>🔗 Ver Mapa</v>
      </c>
    </row>
    <row r="3201" spans="1:12" ht="43.5" x14ac:dyDescent="0.35">
      <c r="A3201" s="5" t="s">
        <v>4</v>
      </c>
      <c r="B3201" s="5" t="s">
        <v>17</v>
      </c>
      <c r="C3201" s="5" t="s">
        <v>1563</v>
      </c>
      <c r="D3201" s="8" t="s">
        <v>64</v>
      </c>
      <c r="E3201" s="16" t="s">
        <v>75</v>
      </c>
      <c r="F3201" s="16" t="s">
        <v>149</v>
      </c>
      <c r="G3201" s="8" t="s">
        <v>1561</v>
      </c>
      <c r="H3201" s="8" t="s">
        <v>1562</v>
      </c>
      <c r="I3201" s="16" t="s">
        <v>296</v>
      </c>
      <c r="J3201" s="16">
        <v>16.784224926313001</v>
      </c>
      <c r="K3201" s="16">
        <v>-96.569560568948006</v>
      </c>
      <c r="L3201" s="16" t="str">
        <f>HYPERLINK("https://maps.google.com/?q=16.784224926313,-96.569560568948", "🔗 Ver Mapa")</f>
        <v>🔗 Ver Mapa</v>
      </c>
    </row>
    <row r="3202" spans="1:12" ht="43.5" x14ac:dyDescent="0.35">
      <c r="A3202" s="6" t="s">
        <v>4</v>
      </c>
      <c r="B3202" s="6" t="s">
        <v>17</v>
      </c>
      <c r="C3202" s="6" t="s">
        <v>1563</v>
      </c>
      <c r="D3202" s="11" t="s">
        <v>64</v>
      </c>
      <c r="E3202" s="17" t="s">
        <v>75</v>
      </c>
      <c r="F3202" s="17" t="s">
        <v>149</v>
      </c>
      <c r="G3202" s="11" t="s">
        <v>1561</v>
      </c>
      <c r="H3202" s="11" t="s">
        <v>1562</v>
      </c>
      <c r="I3202" s="17" t="s">
        <v>296</v>
      </c>
      <c r="J3202" s="17">
        <v>16.784402919026</v>
      </c>
      <c r="K3202" s="17">
        <v>-96.566368564984003</v>
      </c>
      <c r="L3202" s="17" t="str">
        <f>HYPERLINK("https://maps.google.com/?q=16.784402919026,-96.566368564984", "🔗 Ver Mapa")</f>
        <v>🔗 Ver Mapa</v>
      </c>
    </row>
    <row r="3203" spans="1:12" ht="43.5" x14ac:dyDescent="0.35">
      <c r="A3203" s="5" t="s">
        <v>4</v>
      </c>
      <c r="B3203" s="5" t="s">
        <v>17</v>
      </c>
      <c r="C3203" s="5" t="s">
        <v>1563</v>
      </c>
      <c r="D3203" s="8" t="s">
        <v>64</v>
      </c>
      <c r="E3203" s="16" t="s">
        <v>75</v>
      </c>
      <c r="F3203" s="16" t="s">
        <v>149</v>
      </c>
      <c r="G3203" s="8" t="s">
        <v>1561</v>
      </c>
      <c r="H3203" s="8" t="s">
        <v>1562</v>
      </c>
      <c r="I3203" s="16" t="s">
        <v>296</v>
      </c>
      <c r="J3203" s="16">
        <v>16.784457923803</v>
      </c>
      <c r="K3203" s="16">
        <v>-96.569499570502003</v>
      </c>
      <c r="L3203" s="16" t="str">
        <f>HYPERLINK("https://maps.google.com/?q=16.784457923803,-96.569499570502", "🔗 Ver Mapa")</f>
        <v>🔗 Ver Mapa</v>
      </c>
    </row>
    <row r="3204" spans="1:12" ht="43.5" x14ac:dyDescent="0.35">
      <c r="A3204" s="6" t="s">
        <v>4</v>
      </c>
      <c r="B3204" s="6" t="s">
        <v>17</v>
      </c>
      <c r="C3204" s="6" t="s">
        <v>1563</v>
      </c>
      <c r="D3204" s="11" t="s">
        <v>64</v>
      </c>
      <c r="E3204" s="17" t="s">
        <v>75</v>
      </c>
      <c r="F3204" s="17" t="s">
        <v>149</v>
      </c>
      <c r="G3204" s="11" t="s">
        <v>1561</v>
      </c>
      <c r="H3204" s="11" t="s">
        <v>1562</v>
      </c>
      <c r="I3204" s="17" t="s">
        <v>296</v>
      </c>
      <c r="J3204" s="17">
        <v>16.784462921966</v>
      </c>
      <c r="K3204" s="17">
        <v>-96.566312570467005</v>
      </c>
      <c r="L3204" s="17" t="str">
        <f>HYPERLINK("https://maps.google.com/?q=16.784462921966,-96.566312570467", "🔗 Ver Mapa")</f>
        <v>🔗 Ver Mapa</v>
      </c>
    </row>
    <row r="3205" spans="1:12" ht="43.5" x14ac:dyDescent="0.35">
      <c r="A3205" s="5" t="s">
        <v>4</v>
      </c>
      <c r="B3205" s="5" t="s">
        <v>17</v>
      </c>
      <c r="C3205" s="5" t="s">
        <v>1563</v>
      </c>
      <c r="D3205" s="8" t="s">
        <v>64</v>
      </c>
      <c r="E3205" s="16" t="s">
        <v>75</v>
      </c>
      <c r="F3205" s="16" t="s">
        <v>149</v>
      </c>
      <c r="G3205" s="8" t="s">
        <v>1561</v>
      </c>
      <c r="H3205" s="8" t="s">
        <v>1562</v>
      </c>
      <c r="I3205" s="16" t="s">
        <v>296</v>
      </c>
      <c r="J3205" s="16">
        <v>16.78451592007</v>
      </c>
      <c r="K3205" s="16">
        <v>-96.569465563169999</v>
      </c>
      <c r="L3205" s="16" t="str">
        <f>HYPERLINK("https://maps.google.com/?q=16.78451592007,-96.56946556317", "🔗 Ver Mapa")</f>
        <v>🔗 Ver Mapa</v>
      </c>
    </row>
    <row r="3206" spans="1:12" ht="43.5" x14ac:dyDescent="0.35">
      <c r="A3206" s="6" t="s">
        <v>4</v>
      </c>
      <c r="B3206" s="6" t="s">
        <v>17</v>
      </c>
      <c r="C3206" s="6" t="s">
        <v>1563</v>
      </c>
      <c r="D3206" s="11" t="s">
        <v>64</v>
      </c>
      <c r="E3206" s="17" t="s">
        <v>75</v>
      </c>
      <c r="F3206" s="17" t="s">
        <v>149</v>
      </c>
      <c r="G3206" s="11" t="s">
        <v>1561</v>
      </c>
      <c r="H3206" s="11" t="s">
        <v>1562</v>
      </c>
      <c r="I3206" s="17" t="s">
        <v>296</v>
      </c>
      <c r="J3206" s="17">
        <v>16.784589924298999</v>
      </c>
      <c r="K3206" s="17">
        <v>-96.566231567307995</v>
      </c>
      <c r="L3206" s="17" t="str">
        <f>HYPERLINK("https://maps.google.com/?q=16.784589924299,-96.566231567308", "🔗 Ver Mapa")</f>
        <v>🔗 Ver Mapa</v>
      </c>
    </row>
    <row r="3207" spans="1:12" ht="43.5" x14ac:dyDescent="0.35">
      <c r="A3207" s="5" t="s">
        <v>4</v>
      </c>
      <c r="B3207" s="5" t="s">
        <v>17</v>
      </c>
      <c r="C3207" s="5" t="s">
        <v>1563</v>
      </c>
      <c r="D3207" s="8" t="s">
        <v>64</v>
      </c>
      <c r="E3207" s="16" t="s">
        <v>75</v>
      </c>
      <c r="F3207" s="16" t="s">
        <v>149</v>
      </c>
      <c r="G3207" s="8" t="s">
        <v>1561</v>
      </c>
      <c r="H3207" s="8" t="s">
        <v>1562</v>
      </c>
      <c r="I3207" s="16" t="s">
        <v>296</v>
      </c>
      <c r="J3207" s="16">
        <v>16.784596921251001</v>
      </c>
      <c r="K3207" s="16">
        <v>-96.569427568573005</v>
      </c>
      <c r="L3207" s="16" t="str">
        <f>HYPERLINK("https://maps.google.com/?q=16.784596921251,-96.569427568573", "🔗 Ver Mapa")</f>
        <v>🔗 Ver Mapa</v>
      </c>
    </row>
    <row r="3208" spans="1:12" ht="43.5" x14ac:dyDescent="0.35">
      <c r="A3208" s="6" t="s">
        <v>4</v>
      </c>
      <c r="B3208" s="6" t="s">
        <v>17</v>
      </c>
      <c r="C3208" s="6" t="s">
        <v>1563</v>
      </c>
      <c r="D3208" s="11" t="s">
        <v>64</v>
      </c>
      <c r="E3208" s="17" t="s">
        <v>75</v>
      </c>
      <c r="F3208" s="17" t="s">
        <v>149</v>
      </c>
      <c r="G3208" s="11" t="s">
        <v>1561</v>
      </c>
      <c r="H3208" s="11" t="s">
        <v>1562</v>
      </c>
      <c r="I3208" s="17" t="s">
        <v>296</v>
      </c>
      <c r="J3208" s="17">
        <v>16.784629923423001</v>
      </c>
      <c r="K3208" s="17">
        <v>-96.569406566241</v>
      </c>
      <c r="L3208" s="17" t="str">
        <f>HYPERLINK("https://maps.google.com/?q=16.784629923423,-96.569406566241", "🔗 Ver Mapa")</f>
        <v>🔗 Ver Mapa</v>
      </c>
    </row>
    <row r="3209" spans="1:12" ht="43.5" x14ac:dyDescent="0.35">
      <c r="A3209" s="5" t="s">
        <v>4</v>
      </c>
      <c r="B3209" s="5" t="s">
        <v>17</v>
      </c>
      <c r="C3209" s="5" t="s">
        <v>1563</v>
      </c>
      <c r="D3209" s="8" t="s">
        <v>64</v>
      </c>
      <c r="E3209" s="16" t="s">
        <v>75</v>
      </c>
      <c r="F3209" s="16" t="s">
        <v>149</v>
      </c>
      <c r="G3209" s="8" t="s">
        <v>1561</v>
      </c>
      <c r="H3209" s="8" t="s">
        <v>1562</v>
      </c>
      <c r="I3209" s="16" t="s">
        <v>296</v>
      </c>
      <c r="J3209" s="16">
        <v>16.784670927419999</v>
      </c>
      <c r="K3209" s="16">
        <v>-96.566194565323002</v>
      </c>
      <c r="L3209" s="16" t="str">
        <f>HYPERLINK("https://maps.google.com/?q=16.78467092742,-96.566194565323", "🔗 Ver Mapa")</f>
        <v>🔗 Ver Mapa</v>
      </c>
    </row>
    <row r="3210" spans="1:12" ht="43.5" x14ac:dyDescent="0.35">
      <c r="A3210" s="6" t="s">
        <v>4</v>
      </c>
      <c r="B3210" s="6" t="s">
        <v>17</v>
      </c>
      <c r="C3210" s="6" t="s">
        <v>1563</v>
      </c>
      <c r="D3210" s="11" t="s">
        <v>64</v>
      </c>
      <c r="E3210" s="17" t="s">
        <v>75</v>
      </c>
      <c r="F3210" s="17" t="s">
        <v>149</v>
      </c>
      <c r="G3210" s="11" t="s">
        <v>1561</v>
      </c>
      <c r="H3210" s="11" t="s">
        <v>1562</v>
      </c>
      <c r="I3210" s="17" t="s">
        <v>296</v>
      </c>
      <c r="J3210" s="17">
        <v>16.784671960000001</v>
      </c>
      <c r="K3210" s="17">
        <v>-96.586589200000006</v>
      </c>
      <c r="L3210" s="17" t="str">
        <f>HYPERLINK("https://maps.google.com/?q=16.78467196,-96.5865892", "🔗 Ver Mapa")</f>
        <v>🔗 Ver Mapa</v>
      </c>
    </row>
    <row r="3211" spans="1:12" ht="43.5" x14ac:dyDescent="0.35">
      <c r="A3211" s="5" t="s">
        <v>4</v>
      </c>
      <c r="B3211" s="5" t="s">
        <v>17</v>
      </c>
      <c r="C3211" s="5" t="s">
        <v>1563</v>
      </c>
      <c r="D3211" s="8" t="s">
        <v>64</v>
      </c>
      <c r="E3211" s="16" t="s">
        <v>75</v>
      </c>
      <c r="F3211" s="16" t="s">
        <v>149</v>
      </c>
      <c r="G3211" s="8" t="s">
        <v>1561</v>
      </c>
      <c r="H3211" s="8" t="s">
        <v>1562</v>
      </c>
      <c r="I3211" s="16" t="s">
        <v>296</v>
      </c>
      <c r="J3211" s="16">
        <v>16.784699918714001</v>
      </c>
      <c r="K3211" s="16">
        <v>-96.574953565881998</v>
      </c>
      <c r="L3211" s="16" t="str">
        <f>HYPERLINK("https://maps.google.com/?q=16.784699918714,-96.574953565882", "🔗 Ver Mapa")</f>
        <v>🔗 Ver Mapa</v>
      </c>
    </row>
    <row r="3212" spans="1:12" ht="43.5" x14ac:dyDescent="0.35">
      <c r="A3212" s="6" t="s">
        <v>4</v>
      </c>
      <c r="B3212" s="6" t="s">
        <v>17</v>
      </c>
      <c r="C3212" s="6" t="s">
        <v>1563</v>
      </c>
      <c r="D3212" s="11" t="s">
        <v>64</v>
      </c>
      <c r="E3212" s="17" t="s">
        <v>75</v>
      </c>
      <c r="F3212" s="17" t="s">
        <v>149</v>
      </c>
      <c r="G3212" s="11" t="s">
        <v>1561</v>
      </c>
      <c r="H3212" s="11" t="s">
        <v>1562</v>
      </c>
      <c r="I3212" s="17" t="s">
        <v>296</v>
      </c>
      <c r="J3212" s="17">
        <v>16.784702920082999</v>
      </c>
      <c r="K3212" s="17">
        <v>-96.574852565830994</v>
      </c>
      <c r="L3212" s="17" t="str">
        <f>HYPERLINK("https://maps.google.com/?q=16.784702920083,-96.574852565831", "🔗 Ver Mapa")</f>
        <v>🔗 Ver Mapa</v>
      </c>
    </row>
    <row r="3213" spans="1:12" ht="43.5" x14ac:dyDescent="0.35">
      <c r="A3213" s="5" t="s">
        <v>4</v>
      </c>
      <c r="B3213" s="5" t="s">
        <v>17</v>
      </c>
      <c r="C3213" s="5" t="s">
        <v>1563</v>
      </c>
      <c r="D3213" s="8" t="s">
        <v>64</v>
      </c>
      <c r="E3213" s="16" t="s">
        <v>75</v>
      </c>
      <c r="F3213" s="16" t="s">
        <v>149</v>
      </c>
      <c r="G3213" s="8" t="s">
        <v>1561</v>
      </c>
      <c r="H3213" s="8" t="s">
        <v>1562</v>
      </c>
      <c r="I3213" s="16" t="s">
        <v>296</v>
      </c>
      <c r="J3213" s="16">
        <v>16.784711918641001</v>
      </c>
      <c r="K3213" s="16">
        <v>-96.566181571713003</v>
      </c>
      <c r="L3213" s="16" t="str">
        <f>HYPERLINK("https://maps.google.com/?q=16.784711918641,-96.566181571713", "🔗 Ver Mapa")</f>
        <v>🔗 Ver Mapa</v>
      </c>
    </row>
    <row r="3214" spans="1:12" ht="43.5" x14ac:dyDescent="0.35">
      <c r="A3214" s="6" t="s">
        <v>4</v>
      </c>
      <c r="B3214" s="6" t="s">
        <v>17</v>
      </c>
      <c r="C3214" s="6" t="s">
        <v>1563</v>
      </c>
      <c r="D3214" s="11" t="s">
        <v>64</v>
      </c>
      <c r="E3214" s="17" t="s">
        <v>75</v>
      </c>
      <c r="F3214" s="17" t="s">
        <v>149</v>
      </c>
      <c r="G3214" s="11" t="s">
        <v>1561</v>
      </c>
      <c r="H3214" s="11" t="s">
        <v>1562</v>
      </c>
      <c r="I3214" s="17" t="s">
        <v>296</v>
      </c>
      <c r="J3214" s="17">
        <v>16.784713922990999</v>
      </c>
      <c r="K3214" s="17">
        <v>-96.575181567563007</v>
      </c>
      <c r="L3214" s="17" t="str">
        <f>HYPERLINK("https://maps.google.com/?q=16.784713922991,-96.575181567563", "🔗 Ver Mapa")</f>
        <v>🔗 Ver Mapa</v>
      </c>
    </row>
    <row r="3215" spans="1:12" ht="43.5" x14ac:dyDescent="0.35">
      <c r="A3215" s="5" t="s">
        <v>4</v>
      </c>
      <c r="B3215" s="5" t="s">
        <v>17</v>
      </c>
      <c r="C3215" s="5" t="s">
        <v>1563</v>
      </c>
      <c r="D3215" s="8" t="s">
        <v>64</v>
      </c>
      <c r="E3215" s="16" t="s">
        <v>75</v>
      </c>
      <c r="F3215" s="16" t="s">
        <v>149</v>
      </c>
      <c r="G3215" s="8" t="s">
        <v>1561</v>
      </c>
      <c r="H3215" s="8" t="s">
        <v>1562</v>
      </c>
      <c r="I3215" s="16" t="s">
        <v>296</v>
      </c>
      <c r="J3215" s="16">
        <v>16.784717924963001</v>
      </c>
      <c r="K3215" s="16">
        <v>-96.569394569183004</v>
      </c>
      <c r="L3215" s="16" t="str">
        <f>HYPERLINK("https://maps.google.com/?q=16.784717924963,-96.569394569183", "🔗 Ver Mapa")</f>
        <v>🔗 Ver Mapa</v>
      </c>
    </row>
    <row r="3216" spans="1:12" ht="43.5" x14ac:dyDescent="0.35">
      <c r="A3216" s="6" t="s">
        <v>4</v>
      </c>
      <c r="B3216" s="6" t="s">
        <v>17</v>
      </c>
      <c r="C3216" s="6" t="s">
        <v>1563</v>
      </c>
      <c r="D3216" s="11" t="s">
        <v>64</v>
      </c>
      <c r="E3216" s="17" t="s">
        <v>75</v>
      </c>
      <c r="F3216" s="17" t="s">
        <v>149</v>
      </c>
      <c r="G3216" s="11" t="s">
        <v>1561</v>
      </c>
      <c r="H3216" s="11" t="s">
        <v>1562</v>
      </c>
      <c r="I3216" s="17" t="s">
        <v>296</v>
      </c>
      <c r="J3216" s="17">
        <v>16.784732923579</v>
      </c>
      <c r="K3216" s="17">
        <v>-96.574637564561996</v>
      </c>
      <c r="L3216" s="17" t="str">
        <f>HYPERLINK("https://maps.google.com/?q=16.784732923579,-96.574637564562", "🔗 Ver Mapa")</f>
        <v>🔗 Ver Mapa</v>
      </c>
    </row>
    <row r="3217" spans="1:12" ht="43.5" x14ac:dyDescent="0.35">
      <c r="A3217" s="5" t="s">
        <v>4</v>
      </c>
      <c r="B3217" s="5" t="s">
        <v>17</v>
      </c>
      <c r="C3217" s="5" t="s">
        <v>1563</v>
      </c>
      <c r="D3217" s="8" t="s">
        <v>64</v>
      </c>
      <c r="E3217" s="16" t="s">
        <v>75</v>
      </c>
      <c r="F3217" s="16" t="s">
        <v>149</v>
      </c>
      <c r="G3217" s="8" t="s">
        <v>1561</v>
      </c>
      <c r="H3217" s="8" t="s">
        <v>1562</v>
      </c>
      <c r="I3217" s="16" t="s">
        <v>296</v>
      </c>
      <c r="J3217" s="16">
        <v>16.784732924816002</v>
      </c>
      <c r="K3217" s="16">
        <v>-96.574736566705994</v>
      </c>
      <c r="L3217" s="16" t="str">
        <f>HYPERLINK("https://maps.google.com/?q=16.784732924816,-96.574736566706", "🔗 Ver Mapa")</f>
        <v>🔗 Ver Mapa</v>
      </c>
    </row>
    <row r="3218" spans="1:12" ht="43.5" x14ac:dyDescent="0.35">
      <c r="A3218" s="6" t="s">
        <v>4</v>
      </c>
      <c r="B3218" s="6" t="s">
        <v>17</v>
      </c>
      <c r="C3218" s="6" t="s">
        <v>1563</v>
      </c>
      <c r="D3218" s="11" t="s">
        <v>64</v>
      </c>
      <c r="E3218" s="17" t="s">
        <v>75</v>
      </c>
      <c r="F3218" s="17" t="s">
        <v>149</v>
      </c>
      <c r="G3218" s="11" t="s">
        <v>1561</v>
      </c>
      <c r="H3218" s="11" t="s">
        <v>1562</v>
      </c>
      <c r="I3218" s="17" t="s">
        <v>296</v>
      </c>
      <c r="J3218" s="17">
        <v>16.784742919513999</v>
      </c>
      <c r="K3218" s="17">
        <v>-96.575326561476999</v>
      </c>
      <c r="L3218" s="17" t="str">
        <f>HYPERLINK("https://maps.google.com/?q=16.784742919514,-96.575326561477", "🔗 Ver Mapa")</f>
        <v>🔗 Ver Mapa</v>
      </c>
    </row>
    <row r="3219" spans="1:12" ht="43.5" x14ac:dyDescent="0.35">
      <c r="A3219" s="5" t="s">
        <v>4</v>
      </c>
      <c r="B3219" s="5" t="s">
        <v>17</v>
      </c>
      <c r="C3219" s="5" t="s">
        <v>1563</v>
      </c>
      <c r="D3219" s="8" t="s">
        <v>64</v>
      </c>
      <c r="E3219" s="16" t="s">
        <v>75</v>
      </c>
      <c r="F3219" s="16" t="s">
        <v>149</v>
      </c>
      <c r="G3219" s="8" t="s">
        <v>1561</v>
      </c>
      <c r="H3219" s="8" t="s">
        <v>1562</v>
      </c>
      <c r="I3219" s="16" t="s">
        <v>296</v>
      </c>
      <c r="J3219" s="16">
        <v>16.784769922441999</v>
      </c>
      <c r="K3219" s="16">
        <v>-96.574591560149003</v>
      </c>
      <c r="L3219" s="16" t="str">
        <f>HYPERLINK("https://maps.google.com/?q=16.784769922442,-96.574591560149", "🔗 Ver Mapa")</f>
        <v>🔗 Ver Mapa</v>
      </c>
    </row>
    <row r="3220" spans="1:12" ht="43.5" x14ac:dyDescent="0.35">
      <c r="A3220" s="6" t="s">
        <v>4</v>
      </c>
      <c r="B3220" s="6" t="s">
        <v>17</v>
      </c>
      <c r="C3220" s="6" t="s">
        <v>1563</v>
      </c>
      <c r="D3220" s="11" t="s">
        <v>64</v>
      </c>
      <c r="E3220" s="17" t="s">
        <v>75</v>
      </c>
      <c r="F3220" s="17" t="s">
        <v>149</v>
      </c>
      <c r="G3220" s="11" t="s">
        <v>1561</v>
      </c>
      <c r="H3220" s="11" t="s">
        <v>1562</v>
      </c>
      <c r="I3220" s="17" t="s">
        <v>296</v>
      </c>
      <c r="J3220" s="17">
        <v>16.784772920045</v>
      </c>
      <c r="K3220" s="17">
        <v>-96.575409560821001</v>
      </c>
      <c r="L3220" s="17" t="str">
        <f>HYPERLINK("https://maps.google.com/?q=16.784772920045,-96.575409560821", "🔗 Ver Mapa")</f>
        <v>🔗 Ver Mapa</v>
      </c>
    </row>
    <row r="3221" spans="1:12" ht="43.5" x14ac:dyDescent="0.35">
      <c r="A3221" s="5" t="s">
        <v>4</v>
      </c>
      <c r="B3221" s="5" t="s">
        <v>17</v>
      </c>
      <c r="C3221" s="5" t="s">
        <v>1563</v>
      </c>
      <c r="D3221" s="8" t="s">
        <v>64</v>
      </c>
      <c r="E3221" s="16" t="s">
        <v>75</v>
      </c>
      <c r="F3221" s="16" t="s">
        <v>149</v>
      </c>
      <c r="G3221" s="8" t="s">
        <v>1561</v>
      </c>
      <c r="H3221" s="8" t="s">
        <v>1562</v>
      </c>
      <c r="I3221" s="16" t="s">
        <v>296</v>
      </c>
      <c r="J3221" s="16">
        <v>16.784790923713</v>
      </c>
      <c r="K3221" s="16">
        <v>-96.569480564635995</v>
      </c>
      <c r="L3221" s="16" t="str">
        <f>HYPERLINK("https://maps.google.com/?q=16.784790923713,-96.569480564636", "🔗 Ver Mapa")</f>
        <v>🔗 Ver Mapa</v>
      </c>
    </row>
    <row r="3222" spans="1:12" ht="43.5" x14ac:dyDescent="0.35">
      <c r="A3222" s="6" t="s">
        <v>4</v>
      </c>
      <c r="B3222" s="6" t="s">
        <v>17</v>
      </c>
      <c r="C3222" s="6" t="s">
        <v>1563</v>
      </c>
      <c r="D3222" s="11" t="s">
        <v>64</v>
      </c>
      <c r="E3222" s="17" t="s">
        <v>75</v>
      </c>
      <c r="F3222" s="17" t="s">
        <v>149</v>
      </c>
      <c r="G3222" s="11" t="s">
        <v>1561</v>
      </c>
      <c r="H3222" s="11" t="s">
        <v>1562</v>
      </c>
      <c r="I3222" s="17" t="s">
        <v>296</v>
      </c>
      <c r="J3222" s="17">
        <v>16.784804923587</v>
      </c>
      <c r="K3222" s="17">
        <v>-96.575478563057004</v>
      </c>
      <c r="L3222" s="17" t="str">
        <f>HYPERLINK("https://maps.google.com/?q=16.784804923587,-96.575478563057", "🔗 Ver Mapa")</f>
        <v>🔗 Ver Mapa</v>
      </c>
    </row>
    <row r="3223" spans="1:12" ht="43.5" x14ac:dyDescent="0.35">
      <c r="A3223" s="5" t="s">
        <v>4</v>
      </c>
      <c r="B3223" s="5" t="s">
        <v>17</v>
      </c>
      <c r="C3223" s="5" t="s">
        <v>1563</v>
      </c>
      <c r="D3223" s="8" t="s">
        <v>64</v>
      </c>
      <c r="E3223" s="16" t="s">
        <v>75</v>
      </c>
      <c r="F3223" s="16" t="s">
        <v>149</v>
      </c>
      <c r="G3223" s="8" t="s">
        <v>1561</v>
      </c>
      <c r="H3223" s="8" t="s">
        <v>1562</v>
      </c>
      <c r="I3223" s="16" t="s">
        <v>296</v>
      </c>
      <c r="J3223" s="16">
        <v>16.784828927090999</v>
      </c>
      <c r="K3223" s="16">
        <v>-96.566102571075007</v>
      </c>
      <c r="L3223" s="16" t="str">
        <f>HYPERLINK("https://maps.google.com/?q=16.784828927091,-96.566102571075", "🔗 Ver Mapa")</f>
        <v>🔗 Ver Mapa</v>
      </c>
    </row>
    <row r="3224" spans="1:12" ht="43.5" x14ac:dyDescent="0.35">
      <c r="A3224" s="6" t="s">
        <v>4</v>
      </c>
      <c r="B3224" s="6" t="s">
        <v>17</v>
      </c>
      <c r="C3224" s="6" t="s">
        <v>1563</v>
      </c>
      <c r="D3224" s="11" t="s">
        <v>64</v>
      </c>
      <c r="E3224" s="17" t="s">
        <v>75</v>
      </c>
      <c r="F3224" s="17" t="s">
        <v>149</v>
      </c>
      <c r="G3224" s="11" t="s">
        <v>1561</v>
      </c>
      <c r="H3224" s="11" t="s">
        <v>1562</v>
      </c>
      <c r="I3224" s="17" t="s">
        <v>296</v>
      </c>
      <c r="J3224" s="17">
        <v>16.784843917507999</v>
      </c>
      <c r="K3224" s="17">
        <v>-96.574475564977007</v>
      </c>
      <c r="L3224" s="17" t="str">
        <f>HYPERLINK("https://maps.google.com/?q=16.784843917508,-96.574475564977", "🔗 Ver Mapa")</f>
        <v>🔗 Ver Mapa</v>
      </c>
    </row>
    <row r="3225" spans="1:12" ht="43.5" x14ac:dyDescent="0.35">
      <c r="A3225" s="5" t="s">
        <v>4</v>
      </c>
      <c r="B3225" s="5" t="s">
        <v>17</v>
      </c>
      <c r="C3225" s="5" t="s">
        <v>1563</v>
      </c>
      <c r="D3225" s="8" t="s">
        <v>64</v>
      </c>
      <c r="E3225" s="16" t="s">
        <v>75</v>
      </c>
      <c r="F3225" s="16" t="s">
        <v>149</v>
      </c>
      <c r="G3225" s="8" t="s">
        <v>1561</v>
      </c>
      <c r="H3225" s="8" t="s">
        <v>1562</v>
      </c>
      <c r="I3225" s="16" t="s">
        <v>296</v>
      </c>
      <c r="J3225" s="16">
        <v>16.784852919893002</v>
      </c>
      <c r="K3225" s="16">
        <v>-96.575598560700996</v>
      </c>
      <c r="L3225" s="16" t="str">
        <f>HYPERLINK("https://maps.google.com/?q=16.784852919893,-96.575598560701", "🔗 Ver Mapa")</f>
        <v>🔗 Ver Mapa</v>
      </c>
    </row>
    <row r="3226" spans="1:12" ht="43.5" x14ac:dyDescent="0.35">
      <c r="A3226" s="6" t="s">
        <v>4</v>
      </c>
      <c r="B3226" s="6" t="s">
        <v>17</v>
      </c>
      <c r="C3226" s="6" t="s">
        <v>1563</v>
      </c>
      <c r="D3226" s="11" t="s">
        <v>64</v>
      </c>
      <c r="E3226" s="17" t="s">
        <v>75</v>
      </c>
      <c r="F3226" s="17" t="s">
        <v>149</v>
      </c>
      <c r="G3226" s="11" t="s">
        <v>1561</v>
      </c>
      <c r="H3226" s="11" t="s">
        <v>1562</v>
      </c>
      <c r="I3226" s="17" t="s">
        <v>296</v>
      </c>
      <c r="J3226" s="17">
        <v>16.784862922327999</v>
      </c>
      <c r="K3226" s="17">
        <v>-96.57444256046</v>
      </c>
      <c r="L3226" s="17" t="str">
        <f>HYPERLINK("https://maps.google.com/?q=16.784862922328,-96.57444256046", "🔗 Ver Mapa")</f>
        <v>🔗 Ver Mapa</v>
      </c>
    </row>
    <row r="3227" spans="1:12" ht="43.5" x14ac:dyDescent="0.35">
      <c r="A3227" s="5" t="s">
        <v>4</v>
      </c>
      <c r="B3227" s="5" t="s">
        <v>17</v>
      </c>
      <c r="C3227" s="5" t="s">
        <v>1563</v>
      </c>
      <c r="D3227" s="8" t="s">
        <v>64</v>
      </c>
      <c r="E3227" s="16" t="s">
        <v>75</v>
      </c>
      <c r="F3227" s="16" t="s">
        <v>149</v>
      </c>
      <c r="G3227" s="8" t="s">
        <v>1561</v>
      </c>
      <c r="H3227" s="8" t="s">
        <v>1562</v>
      </c>
      <c r="I3227" s="16" t="s">
        <v>296</v>
      </c>
      <c r="J3227" s="16">
        <v>16.784890922828001</v>
      </c>
      <c r="K3227" s="16">
        <v>-96.575661560599002</v>
      </c>
      <c r="L3227" s="16" t="str">
        <f>HYPERLINK("https://maps.google.com/?q=16.784890922828,-96.575661560599", "🔗 Ver Mapa")</f>
        <v>🔗 Ver Mapa</v>
      </c>
    </row>
    <row r="3228" spans="1:12" ht="43.5" x14ac:dyDescent="0.35">
      <c r="A3228" s="6" t="s">
        <v>4</v>
      </c>
      <c r="B3228" s="6" t="s">
        <v>17</v>
      </c>
      <c r="C3228" s="6" t="s">
        <v>1563</v>
      </c>
      <c r="D3228" s="11" t="s">
        <v>64</v>
      </c>
      <c r="E3228" s="17" t="s">
        <v>75</v>
      </c>
      <c r="F3228" s="17" t="s">
        <v>149</v>
      </c>
      <c r="G3228" s="11" t="s">
        <v>1561</v>
      </c>
      <c r="H3228" s="11" t="s">
        <v>1562</v>
      </c>
      <c r="I3228" s="17" t="s">
        <v>296</v>
      </c>
      <c r="J3228" s="17">
        <v>16.784890924879001</v>
      </c>
      <c r="K3228" s="17">
        <v>-96.574429564691002</v>
      </c>
      <c r="L3228" s="17" t="str">
        <f>HYPERLINK("https://maps.google.com/?q=16.784890924879,-96.574429564691", "🔗 Ver Mapa")</f>
        <v>🔗 Ver Mapa</v>
      </c>
    </row>
    <row r="3229" spans="1:12" ht="43.5" x14ac:dyDescent="0.35">
      <c r="A3229" s="5" t="s">
        <v>4</v>
      </c>
      <c r="B3229" s="5" t="s">
        <v>17</v>
      </c>
      <c r="C3229" s="5" t="s">
        <v>1563</v>
      </c>
      <c r="D3229" s="8" t="s">
        <v>64</v>
      </c>
      <c r="E3229" s="16" t="s">
        <v>75</v>
      </c>
      <c r="F3229" s="16" t="s">
        <v>149</v>
      </c>
      <c r="G3229" s="8" t="s">
        <v>1561</v>
      </c>
      <c r="H3229" s="8" t="s">
        <v>1562</v>
      </c>
      <c r="I3229" s="16" t="s">
        <v>296</v>
      </c>
      <c r="J3229" s="16">
        <v>16.784897920477999</v>
      </c>
      <c r="K3229" s="16">
        <v>-96.575706565749996</v>
      </c>
      <c r="L3229" s="16" t="str">
        <f>HYPERLINK("https://maps.google.com/?q=16.784897920478,-96.57570656575", "🔗 Ver Mapa")</f>
        <v>🔗 Ver Mapa</v>
      </c>
    </row>
    <row r="3230" spans="1:12" ht="43.5" x14ac:dyDescent="0.35">
      <c r="A3230" s="6" t="s">
        <v>4</v>
      </c>
      <c r="B3230" s="6" t="s">
        <v>17</v>
      </c>
      <c r="C3230" s="6" t="s">
        <v>1563</v>
      </c>
      <c r="D3230" s="11" t="s">
        <v>64</v>
      </c>
      <c r="E3230" s="17" t="s">
        <v>75</v>
      </c>
      <c r="F3230" s="17" t="s">
        <v>149</v>
      </c>
      <c r="G3230" s="11" t="s">
        <v>1561</v>
      </c>
      <c r="H3230" s="11" t="s">
        <v>1562</v>
      </c>
      <c r="I3230" s="17" t="s">
        <v>296</v>
      </c>
      <c r="J3230" s="17">
        <v>16.784912919044</v>
      </c>
      <c r="K3230" s="17">
        <v>-96.569583565404002</v>
      </c>
      <c r="L3230" s="17" t="str">
        <f>HYPERLINK("https://maps.google.com/?q=16.784912919044,-96.569583565404", "🔗 Ver Mapa")</f>
        <v>🔗 Ver Mapa</v>
      </c>
    </row>
    <row r="3231" spans="1:12" ht="43.5" x14ac:dyDescent="0.35">
      <c r="A3231" s="5" t="s">
        <v>4</v>
      </c>
      <c r="B3231" s="5" t="s">
        <v>17</v>
      </c>
      <c r="C3231" s="5" t="s">
        <v>1563</v>
      </c>
      <c r="D3231" s="8" t="s">
        <v>64</v>
      </c>
      <c r="E3231" s="16" t="s">
        <v>75</v>
      </c>
      <c r="F3231" s="16" t="s">
        <v>149</v>
      </c>
      <c r="G3231" s="8" t="s">
        <v>1561</v>
      </c>
      <c r="H3231" s="8" t="s">
        <v>1562</v>
      </c>
      <c r="I3231" s="16" t="s">
        <v>296</v>
      </c>
      <c r="J3231" s="16">
        <v>16.784927923809001</v>
      </c>
      <c r="K3231" s="16">
        <v>-96.574429563706005</v>
      </c>
      <c r="L3231" s="16" t="str">
        <f>HYPERLINK("https://maps.google.com/?q=16.784927923809,-96.574429563706", "🔗 Ver Mapa")</f>
        <v>🔗 Ver Mapa</v>
      </c>
    </row>
    <row r="3232" spans="1:12" ht="43.5" x14ac:dyDescent="0.35">
      <c r="A3232" s="6" t="s">
        <v>4</v>
      </c>
      <c r="B3232" s="6" t="s">
        <v>17</v>
      </c>
      <c r="C3232" s="6" t="s">
        <v>1563</v>
      </c>
      <c r="D3232" s="11" t="s">
        <v>64</v>
      </c>
      <c r="E3232" s="17" t="s">
        <v>75</v>
      </c>
      <c r="F3232" s="17" t="s">
        <v>149</v>
      </c>
      <c r="G3232" s="11" t="s">
        <v>1561</v>
      </c>
      <c r="H3232" s="11" t="s">
        <v>1562</v>
      </c>
      <c r="I3232" s="17" t="s">
        <v>296</v>
      </c>
      <c r="J3232" s="17">
        <v>16.784943922139998</v>
      </c>
      <c r="K3232" s="17">
        <v>-96.575797567031998</v>
      </c>
      <c r="L3232" s="17" t="str">
        <f>HYPERLINK("https://maps.google.com/?q=16.78494392214,-96.575797567032", "🔗 Ver Mapa")</f>
        <v>🔗 Ver Mapa</v>
      </c>
    </row>
    <row r="3233" spans="1:12" ht="43.5" x14ac:dyDescent="0.35">
      <c r="A3233" s="5" t="s">
        <v>4</v>
      </c>
      <c r="B3233" s="5" t="s">
        <v>17</v>
      </c>
      <c r="C3233" s="5" t="s">
        <v>1563</v>
      </c>
      <c r="D3233" s="8" t="s">
        <v>64</v>
      </c>
      <c r="E3233" s="16" t="s">
        <v>75</v>
      </c>
      <c r="F3233" s="16" t="s">
        <v>149</v>
      </c>
      <c r="G3233" s="8" t="s">
        <v>1561</v>
      </c>
      <c r="H3233" s="8" t="s">
        <v>1562</v>
      </c>
      <c r="I3233" s="16" t="s">
        <v>296</v>
      </c>
      <c r="J3233" s="16">
        <v>16.784958921876999</v>
      </c>
      <c r="K3233" s="16">
        <v>-96.575812567400007</v>
      </c>
      <c r="L3233" s="16" t="str">
        <f>HYPERLINK("https://maps.google.com/?q=16.784958921877,-96.5758125674", "🔗 Ver Mapa")</f>
        <v>🔗 Ver Mapa</v>
      </c>
    </row>
    <row r="3234" spans="1:12" ht="43.5" x14ac:dyDescent="0.35">
      <c r="A3234" s="6" t="s">
        <v>4</v>
      </c>
      <c r="B3234" s="6" t="s">
        <v>17</v>
      </c>
      <c r="C3234" s="6" t="s">
        <v>1563</v>
      </c>
      <c r="D3234" s="11" t="s">
        <v>64</v>
      </c>
      <c r="E3234" s="17" t="s">
        <v>75</v>
      </c>
      <c r="F3234" s="17" t="s">
        <v>149</v>
      </c>
      <c r="G3234" s="11" t="s">
        <v>1561</v>
      </c>
      <c r="H3234" s="11" t="s">
        <v>1562</v>
      </c>
      <c r="I3234" s="17" t="s">
        <v>296</v>
      </c>
      <c r="J3234" s="17">
        <v>16.784977919585</v>
      </c>
      <c r="K3234" s="17">
        <v>-96.574412565979003</v>
      </c>
      <c r="L3234" s="17" t="str">
        <f>HYPERLINK("https://maps.google.com/?q=16.784977919585,-96.574412565979", "🔗 Ver Mapa")</f>
        <v>🔗 Ver Mapa</v>
      </c>
    </row>
    <row r="3235" spans="1:12" ht="43.5" x14ac:dyDescent="0.35">
      <c r="A3235" s="5" t="s">
        <v>4</v>
      </c>
      <c r="B3235" s="5" t="s">
        <v>17</v>
      </c>
      <c r="C3235" s="5" t="s">
        <v>1563</v>
      </c>
      <c r="D3235" s="8" t="s">
        <v>64</v>
      </c>
      <c r="E3235" s="16" t="s">
        <v>75</v>
      </c>
      <c r="F3235" s="16" t="s">
        <v>149</v>
      </c>
      <c r="G3235" s="8" t="s">
        <v>1561</v>
      </c>
      <c r="H3235" s="8" t="s">
        <v>1562</v>
      </c>
      <c r="I3235" s="16" t="s">
        <v>296</v>
      </c>
      <c r="J3235" s="16">
        <v>16.784980921597999</v>
      </c>
      <c r="K3235" s="16">
        <v>-96.575840559846</v>
      </c>
      <c r="L3235" s="16" t="str">
        <f>HYPERLINK("https://maps.google.com/?q=16.784980921598,-96.575840559846", "🔗 Ver Mapa")</f>
        <v>🔗 Ver Mapa</v>
      </c>
    </row>
    <row r="3236" spans="1:12" ht="43.5" x14ac:dyDescent="0.35">
      <c r="A3236" s="6" t="s">
        <v>4</v>
      </c>
      <c r="B3236" s="6" t="s">
        <v>17</v>
      </c>
      <c r="C3236" s="6" t="s">
        <v>1563</v>
      </c>
      <c r="D3236" s="11" t="s">
        <v>64</v>
      </c>
      <c r="E3236" s="17" t="s">
        <v>75</v>
      </c>
      <c r="F3236" s="17" t="s">
        <v>149</v>
      </c>
      <c r="G3236" s="11" t="s">
        <v>1561</v>
      </c>
      <c r="H3236" s="11" t="s">
        <v>1562</v>
      </c>
      <c r="I3236" s="17" t="s">
        <v>296</v>
      </c>
      <c r="J3236" s="17">
        <v>16.784989921680001</v>
      </c>
      <c r="K3236" s="17">
        <v>-96.572356565736001</v>
      </c>
      <c r="L3236" s="17" t="str">
        <f>HYPERLINK("https://maps.google.com/?q=16.78498992168,-96.572356565736", "🔗 Ver Mapa")</f>
        <v>🔗 Ver Mapa</v>
      </c>
    </row>
    <row r="3237" spans="1:12" ht="43.5" x14ac:dyDescent="0.35">
      <c r="A3237" s="5" t="s">
        <v>4</v>
      </c>
      <c r="B3237" s="5" t="s">
        <v>17</v>
      </c>
      <c r="C3237" s="5" t="s">
        <v>1563</v>
      </c>
      <c r="D3237" s="8" t="s">
        <v>64</v>
      </c>
      <c r="E3237" s="16" t="s">
        <v>75</v>
      </c>
      <c r="F3237" s="16" t="s">
        <v>149</v>
      </c>
      <c r="G3237" s="8" t="s">
        <v>1561</v>
      </c>
      <c r="H3237" s="8" t="s">
        <v>1562</v>
      </c>
      <c r="I3237" s="16" t="s">
        <v>296</v>
      </c>
      <c r="J3237" s="16">
        <v>16.784990916872999</v>
      </c>
      <c r="K3237" s="16">
        <v>-96.572458565253001</v>
      </c>
      <c r="L3237" s="16" t="str">
        <f>HYPERLINK("https://maps.google.com/?q=16.784990916873,-96.572458565253", "🔗 Ver Mapa")</f>
        <v>🔗 Ver Mapa</v>
      </c>
    </row>
    <row r="3238" spans="1:12" ht="43.5" x14ac:dyDescent="0.35">
      <c r="A3238" s="6" t="s">
        <v>4</v>
      </c>
      <c r="B3238" s="6" t="s">
        <v>17</v>
      </c>
      <c r="C3238" s="6" t="s">
        <v>1563</v>
      </c>
      <c r="D3238" s="11" t="s">
        <v>64</v>
      </c>
      <c r="E3238" s="17" t="s">
        <v>75</v>
      </c>
      <c r="F3238" s="17" t="s">
        <v>149</v>
      </c>
      <c r="G3238" s="11" t="s">
        <v>1561</v>
      </c>
      <c r="H3238" s="11" t="s">
        <v>1562</v>
      </c>
      <c r="I3238" s="17" t="s">
        <v>296</v>
      </c>
      <c r="J3238" s="17">
        <v>16.784990926211002</v>
      </c>
      <c r="K3238" s="17">
        <v>-96.566074570216998</v>
      </c>
      <c r="L3238" s="17" t="str">
        <f>HYPERLINK("https://maps.google.com/?q=16.784990926211,-96.566074570217", "🔗 Ver Mapa")</f>
        <v>🔗 Ver Mapa</v>
      </c>
    </row>
    <row r="3239" spans="1:12" ht="43.5" x14ac:dyDescent="0.35">
      <c r="A3239" s="5" t="s">
        <v>4</v>
      </c>
      <c r="B3239" s="5" t="s">
        <v>17</v>
      </c>
      <c r="C3239" s="5" t="s">
        <v>1563</v>
      </c>
      <c r="D3239" s="8" t="s">
        <v>64</v>
      </c>
      <c r="E3239" s="16" t="s">
        <v>75</v>
      </c>
      <c r="F3239" s="16" t="s">
        <v>149</v>
      </c>
      <c r="G3239" s="8" t="s">
        <v>1561</v>
      </c>
      <c r="H3239" s="8" t="s">
        <v>1562</v>
      </c>
      <c r="I3239" s="16" t="s">
        <v>296</v>
      </c>
      <c r="J3239" s="16">
        <v>16.785010921333999</v>
      </c>
      <c r="K3239" s="16">
        <v>-96.572568565565007</v>
      </c>
      <c r="L3239" s="16" t="str">
        <f>HYPERLINK("https://maps.google.com/?q=16.785010921334,-96.572568565565", "🔗 Ver Mapa")</f>
        <v>🔗 Ver Mapa</v>
      </c>
    </row>
    <row r="3240" spans="1:12" ht="43.5" x14ac:dyDescent="0.35">
      <c r="A3240" s="6" t="s">
        <v>4</v>
      </c>
      <c r="B3240" s="6" t="s">
        <v>17</v>
      </c>
      <c r="C3240" s="6" t="s">
        <v>1563</v>
      </c>
      <c r="D3240" s="11" t="s">
        <v>64</v>
      </c>
      <c r="E3240" s="17" t="s">
        <v>75</v>
      </c>
      <c r="F3240" s="17" t="s">
        <v>149</v>
      </c>
      <c r="G3240" s="11" t="s">
        <v>1561</v>
      </c>
      <c r="H3240" s="11" t="s">
        <v>1562</v>
      </c>
      <c r="I3240" s="17" t="s">
        <v>296</v>
      </c>
      <c r="J3240" s="17">
        <v>16.785023924893999</v>
      </c>
      <c r="K3240" s="17">
        <v>-96.569658565851</v>
      </c>
      <c r="L3240" s="17" t="str">
        <f>HYPERLINK("https://maps.google.com/?q=16.785023924894,-96.569658565851", "🔗 Ver Mapa")</f>
        <v>🔗 Ver Mapa</v>
      </c>
    </row>
    <row r="3241" spans="1:12" ht="43.5" x14ac:dyDescent="0.35">
      <c r="A3241" s="5" t="s">
        <v>4</v>
      </c>
      <c r="B3241" s="5" t="s">
        <v>17</v>
      </c>
      <c r="C3241" s="5" t="s">
        <v>1563</v>
      </c>
      <c r="D3241" s="8" t="s">
        <v>64</v>
      </c>
      <c r="E3241" s="16" t="s">
        <v>75</v>
      </c>
      <c r="F3241" s="16" t="s">
        <v>149</v>
      </c>
      <c r="G3241" s="8" t="s">
        <v>1561</v>
      </c>
      <c r="H3241" s="8" t="s">
        <v>1562</v>
      </c>
      <c r="I3241" s="16" t="s">
        <v>296</v>
      </c>
      <c r="J3241" s="16">
        <v>16.78503791923</v>
      </c>
      <c r="K3241" s="16">
        <v>-96.572237561939005</v>
      </c>
      <c r="L3241" s="16" t="str">
        <f>HYPERLINK("https://maps.google.com/?q=16.78503791923,-96.572237561939", "🔗 Ver Mapa")</f>
        <v>🔗 Ver Mapa</v>
      </c>
    </row>
    <row r="3242" spans="1:12" ht="43.5" x14ac:dyDescent="0.35">
      <c r="A3242" s="6" t="s">
        <v>4</v>
      </c>
      <c r="B3242" s="6" t="s">
        <v>17</v>
      </c>
      <c r="C3242" s="6" t="s">
        <v>1563</v>
      </c>
      <c r="D3242" s="11" t="s">
        <v>64</v>
      </c>
      <c r="E3242" s="17" t="s">
        <v>75</v>
      </c>
      <c r="F3242" s="17" t="s">
        <v>149</v>
      </c>
      <c r="G3242" s="11" t="s">
        <v>1561</v>
      </c>
      <c r="H3242" s="11" t="s">
        <v>1562</v>
      </c>
      <c r="I3242" s="17" t="s">
        <v>296</v>
      </c>
      <c r="J3242" s="17">
        <v>16.785041926045999</v>
      </c>
      <c r="K3242" s="17">
        <v>-96.569664563116007</v>
      </c>
      <c r="L3242" s="17" t="str">
        <f>HYPERLINK("https://maps.google.com/?q=16.785041926046,-96.569664563116", "🔗 Ver Mapa")</f>
        <v>🔗 Ver Mapa</v>
      </c>
    </row>
    <row r="3243" spans="1:12" ht="43.5" x14ac:dyDescent="0.35">
      <c r="A3243" s="5" t="s">
        <v>4</v>
      </c>
      <c r="B3243" s="5" t="s">
        <v>17</v>
      </c>
      <c r="C3243" s="5" t="s">
        <v>1563</v>
      </c>
      <c r="D3243" s="8" t="s">
        <v>64</v>
      </c>
      <c r="E3243" s="16" t="s">
        <v>75</v>
      </c>
      <c r="F3243" s="16" t="s">
        <v>149</v>
      </c>
      <c r="G3243" s="8" t="s">
        <v>1561</v>
      </c>
      <c r="H3243" s="8" t="s">
        <v>1562</v>
      </c>
      <c r="I3243" s="16" t="s">
        <v>296</v>
      </c>
      <c r="J3243" s="16">
        <v>16.785051917522001</v>
      </c>
      <c r="K3243" s="16">
        <v>-96.572645564094998</v>
      </c>
      <c r="L3243" s="16" t="str">
        <f>HYPERLINK("https://maps.google.com/?q=16.785051917522,-96.572645564095", "🔗 Ver Mapa")</f>
        <v>🔗 Ver Mapa</v>
      </c>
    </row>
    <row r="3244" spans="1:12" ht="43.5" x14ac:dyDescent="0.35">
      <c r="A3244" s="6" t="s">
        <v>4</v>
      </c>
      <c r="B3244" s="6" t="s">
        <v>17</v>
      </c>
      <c r="C3244" s="6" t="s">
        <v>1563</v>
      </c>
      <c r="D3244" s="11" t="s">
        <v>64</v>
      </c>
      <c r="E3244" s="17" t="s">
        <v>75</v>
      </c>
      <c r="F3244" s="17" t="s">
        <v>149</v>
      </c>
      <c r="G3244" s="11" t="s">
        <v>1561</v>
      </c>
      <c r="H3244" s="11" t="s">
        <v>1562</v>
      </c>
      <c r="I3244" s="17" t="s">
        <v>296</v>
      </c>
      <c r="J3244" s="17">
        <v>16.785055924961</v>
      </c>
      <c r="K3244" s="17">
        <v>-96.569673565049001</v>
      </c>
      <c r="L3244" s="17" t="str">
        <f>HYPERLINK("https://maps.google.com/?q=16.785055924961,-96.569673565049", "🔗 Ver Mapa")</f>
        <v>🔗 Ver Mapa</v>
      </c>
    </row>
    <row r="3245" spans="1:12" ht="43.5" x14ac:dyDescent="0.35">
      <c r="A3245" s="5" t="s">
        <v>4</v>
      </c>
      <c r="B3245" s="5" t="s">
        <v>17</v>
      </c>
      <c r="C3245" s="5" t="s">
        <v>1563</v>
      </c>
      <c r="D3245" s="8" t="s">
        <v>64</v>
      </c>
      <c r="E3245" s="16" t="s">
        <v>75</v>
      </c>
      <c r="F3245" s="16" t="s">
        <v>149</v>
      </c>
      <c r="G3245" s="8" t="s">
        <v>1561</v>
      </c>
      <c r="H3245" s="8" t="s">
        <v>1562</v>
      </c>
      <c r="I3245" s="16" t="s">
        <v>296</v>
      </c>
      <c r="J3245" s="16">
        <v>16.785067923151001</v>
      </c>
      <c r="K3245" s="16">
        <v>-96.575911564844006</v>
      </c>
      <c r="L3245" s="16" t="str">
        <f>HYPERLINK("https://maps.google.com/?q=16.785067923151,-96.575911564844", "🔗 Ver Mapa")</f>
        <v>🔗 Ver Mapa</v>
      </c>
    </row>
    <row r="3246" spans="1:12" ht="43.5" x14ac:dyDescent="0.35">
      <c r="A3246" s="6" t="s">
        <v>4</v>
      </c>
      <c r="B3246" s="6" t="s">
        <v>17</v>
      </c>
      <c r="C3246" s="6" t="s">
        <v>1563</v>
      </c>
      <c r="D3246" s="11" t="s">
        <v>64</v>
      </c>
      <c r="E3246" s="17" t="s">
        <v>75</v>
      </c>
      <c r="F3246" s="17" t="s">
        <v>149</v>
      </c>
      <c r="G3246" s="11" t="s">
        <v>1561</v>
      </c>
      <c r="H3246" s="11" t="s">
        <v>1562</v>
      </c>
      <c r="I3246" s="17" t="s">
        <v>296</v>
      </c>
      <c r="J3246" s="17">
        <v>16.785075921286001</v>
      </c>
      <c r="K3246" s="17">
        <v>-96.566108566327998</v>
      </c>
      <c r="L3246" s="17" t="str">
        <f>HYPERLINK("https://maps.google.com/?q=16.785075921286,-96.566108566328", "🔗 Ver Mapa")</f>
        <v>🔗 Ver Mapa</v>
      </c>
    </row>
    <row r="3247" spans="1:12" ht="43.5" x14ac:dyDescent="0.35">
      <c r="A3247" s="5" t="s">
        <v>4</v>
      </c>
      <c r="B3247" s="5" t="s">
        <v>17</v>
      </c>
      <c r="C3247" s="5" t="s">
        <v>1563</v>
      </c>
      <c r="D3247" s="8" t="s">
        <v>64</v>
      </c>
      <c r="E3247" s="16" t="s">
        <v>75</v>
      </c>
      <c r="F3247" s="16" t="s">
        <v>149</v>
      </c>
      <c r="G3247" s="8" t="s">
        <v>1561</v>
      </c>
      <c r="H3247" s="8" t="s">
        <v>1562</v>
      </c>
      <c r="I3247" s="16" t="s">
        <v>296</v>
      </c>
      <c r="J3247" s="16">
        <v>16.785112924675001</v>
      </c>
      <c r="K3247" s="16">
        <v>-96.572746566635004</v>
      </c>
      <c r="L3247" s="16" t="str">
        <f>HYPERLINK("https://maps.google.com/?q=16.785112924675,-96.572746566635", "🔗 Ver Mapa")</f>
        <v>🔗 Ver Mapa</v>
      </c>
    </row>
    <row r="3248" spans="1:12" ht="43.5" x14ac:dyDescent="0.35">
      <c r="A3248" s="6" t="s">
        <v>4</v>
      </c>
      <c r="B3248" s="6" t="s">
        <v>17</v>
      </c>
      <c r="C3248" s="6" t="s">
        <v>1563</v>
      </c>
      <c r="D3248" s="11" t="s">
        <v>64</v>
      </c>
      <c r="E3248" s="17" t="s">
        <v>75</v>
      </c>
      <c r="F3248" s="17" t="s">
        <v>149</v>
      </c>
      <c r="G3248" s="11" t="s">
        <v>1561</v>
      </c>
      <c r="H3248" s="11" t="s">
        <v>1562</v>
      </c>
      <c r="I3248" s="17" t="s">
        <v>296</v>
      </c>
      <c r="J3248" s="17">
        <v>16.785113923981999</v>
      </c>
      <c r="K3248" s="17">
        <v>-96.575926565632997</v>
      </c>
      <c r="L3248" s="17" t="str">
        <f>HYPERLINK("https://maps.google.com/?q=16.785113923982,-96.575926565633", "🔗 Ver Mapa")</f>
        <v>🔗 Ver Mapa</v>
      </c>
    </row>
    <row r="3249" spans="1:12" ht="43.5" x14ac:dyDescent="0.35">
      <c r="A3249" s="5" t="s">
        <v>4</v>
      </c>
      <c r="B3249" s="5" t="s">
        <v>17</v>
      </c>
      <c r="C3249" s="5" t="s">
        <v>1563</v>
      </c>
      <c r="D3249" s="8" t="s">
        <v>64</v>
      </c>
      <c r="E3249" s="16" t="s">
        <v>75</v>
      </c>
      <c r="F3249" s="16" t="s">
        <v>149</v>
      </c>
      <c r="G3249" s="8" t="s">
        <v>1561</v>
      </c>
      <c r="H3249" s="8" t="s">
        <v>1562</v>
      </c>
      <c r="I3249" s="16" t="s">
        <v>296</v>
      </c>
      <c r="J3249" s="16">
        <v>16.785130924737999</v>
      </c>
      <c r="K3249" s="16">
        <v>-96.569777567214999</v>
      </c>
      <c r="L3249" s="16" t="str">
        <f>HYPERLINK("https://maps.google.com/?q=16.785130924738,-96.569777567215", "🔗 Ver Mapa")</f>
        <v>🔗 Ver Mapa</v>
      </c>
    </row>
    <row r="3250" spans="1:12" ht="43.5" x14ac:dyDescent="0.35">
      <c r="A3250" s="6" t="s">
        <v>4</v>
      </c>
      <c r="B3250" s="6" t="s">
        <v>17</v>
      </c>
      <c r="C3250" s="6" t="s">
        <v>1563</v>
      </c>
      <c r="D3250" s="11" t="s">
        <v>64</v>
      </c>
      <c r="E3250" s="17" t="s">
        <v>75</v>
      </c>
      <c r="F3250" s="17" t="s">
        <v>149</v>
      </c>
      <c r="G3250" s="11" t="s">
        <v>1561</v>
      </c>
      <c r="H3250" s="11" t="s">
        <v>1562</v>
      </c>
      <c r="I3250" s="17" t="s">
        <v>296</v>
      </c>
      <c r="J3250" s="17">
        <v>16.785134921680999</v>
      </c>
      <c r="K3250" s="17">
        <v>-96.574271567615995</v>
      </c>
      <c r="L3250" s="17" t="str">
        <f>HYPERLINK("https://maps.google.com/?q=16.785134921681,-96.574271567616", "🔗 Ver Mapa")</f>
        <v>🔗 Ver Mapa</v>
      </c>
    </row>
    <row r="3251" spans="1:12" ht="43.5" x14ac:dyDescent="0.35">
      <c r="A3251" s="5" t="s">
        <v>4</v>
      </c>
      <c r="B3251" s="5" t="s">
        <v>17</v>
      </c>
      <c r="C3251" s="5" t="s">
        <v>1563</v>
      </c>
      <c r="D3251" s="8" t="s">
        <v>64</v>
      </c>
      <c r="E3251" s="16" t="s">
        <v>75</v>
      </c>
      <c r="F3251" s="16" t="s">
        <v>149</v>
      </c>
      <c r="G3251" s="8" t="s">
        <v>1561</v>
      </c>
      <c r="H3251" s="8" t="s">
        <v>1562</v>
      </c>
      <c r="I3251" s="16" t="s">
        <v>296</v>
      </c>
      <c r="J3251" s="16">
        <v>16.785150921288</v>
      </c>
      <c r="K3251" s="16">
        <v>-96.574239567025003</v>
      </c>
      <c r="L3251" s="16" t="str">
        <f>HYPERLINK("https://maps.google.com/?q=16.785150921288,-96.574239567025", "🔗 Ver Mapa")</f>
        <v>🔗 Ver Mapa</v>
      </c>
    </row>
    <row r="3252" spans="1:12" ht="43.5" x14ac:dyDescent="0.35">
      <c r="A3252" s="6" t="s">
        <v>4</v>
      </c>
      <c r="B3252" s="6" t="s">
        <v>17</v>
      </c>
      <c r="C3252" s="6" t="s">
        <v>1563</v>
      </c>
      <c r="D3252" s="11" t="s">
        <v>64</v>
      </c>
      <c r="E3252" s="17" t="s">
        <v>75</v>
      </c>
      <c r="F3252" s="17" t="s">
        <v>149</v>
      </c>
      <c r="G3252" s="11" t="s">
        <v>1561</v>
      </c>
      <c r="H3252" s="11" t="s">
        <v>1562</v>
      </c>
      <c r="I3252" s="17" t="s">
        <v>296</v>
      </c>
      <c r="J3252" s="17">
        <v>16.785152922240002</v>
      </c>
      <c r="K3252" s="17">
        <v>-96.572795568868997</v>
      </c>
      <c r="L3252" s="17" t="str">
        <f>HYPERLINK("https://maps.google.com/?q=16.78515292224,-96.572795568869", "🔗 Ver Mapa")</f>
        <v>🔗 Ver Mapa</v>
      </c>
    </row>
    <row r="3253" spans="1:12" ht="43.5" x14ac:dyDescent="0.35">
      <c r="A3253" s="5" t="s">
        <v>4</v>
      </c>
      <c r="B3253" s="5" t="s">
        <v>17</v>
      </c>
      <c r="C3253" s="5" t="s">
        <v>1563</v>
      </c>
      <c r="D3253" s="8" t="s">
        <v>64</v>
      </c>
      <c r="E3253" s="16" t="s">
        <v>75</v>
      </c>
      <c r="F3253" s="16" t="s">
        <v>149</v>
      </c>
      <c r="G3253" s="8" t="s">
        <v>1561</v>
      </c>
      <c r="H3253" s="8" t="s">
        <v>1562</v>
      </c>
      <c r="I3253" s="16" t="s">
        <v>296</v>
      </c>
      <c r="J3253" s="16">
        <v>16.785155916792</v>
      </c>
      <c r="K3253" s="16">
        <v>-96.572054561209001</v>
      </c>
      <c r="L3253" s="16" t="str">
        <f>HYPERLINK("https://maps.google.com/?q=16.785155916792,-96.572054561209", "🔗 Ver Mapa")</f>
        <v>🔗 Ver Mapa</v>
      </c>
    </row>
    <row r="3254" spans="1:12" ht="43.5" x14ac:dyDescent="0.35">
      <c r="A3254" s="6" t="s">
        <v>4</v>
      </c>
      <c r="B3254" s="6" t="s">
        <v>17</v>
      </c>
      <c r="C3254" s="6" t="s">
        <v>1563</v>
      </c>
      <c r="D3254" s="11" t="s">
        <v>64</v>
      </c>
      <c r="E3254" s="17" t="s">
        <v>75</v>
      </c>
      <c r="F3254" s="17" t="s">
        <v>149</v>
      </c>
      <c r="G3254" s="11" t="s">
        <v>1561</v>
      </c>
      <c r="H3254" s="11" t="s">
        <v>1562</v>
      </c>
      <c r="I3254" s="17" t="s">
        <v>296</v>
      </c>
      <c r="J3254" s="17">
        <v>16.785179629999998</v>
      </c>
      <c r="K3254" s="17">
        <v>-96.586019680000007</v>
      </c>
      <c r="L3254" s="17" t="str">
        <f>HYPERLINK("https://maps.google.com/?q=16.78517963,-96.58601968", "🔗 Ver Mapa")</f>
        <v>🔗 Ver Mapa</v>
      </c>
    </row>
    <row r="3255" spans="1:12" ht="43.5" x14ac:dyDescent="0.35">
      <c r="A3255" s="5" t="s">
        <v>4</v>
      </c>
      <c r="B3255" s="5" t="s">
        <v>17</v>
      </c>
      <c r="C3255" s="5" t="s">
        <v>1563</v>
      </c>
      <c r="D3255" s="8" t="s">
        <v>64</v>
      </c>
      <c r="E3255" s="16" t="s">
        <v>75</v>
      </c>
      <c r="F3255" s="16" t="s">
        <v>149</v>
      </c>
      <c r="G3255" s="8" t="s">
        <v>1561</v>
      </c>
      <c r="H3255" s="8" t="s">
        <v>1562</v>
      </c>
      <c r="I3255" s="16" t="s">
        <v>296</v>
      </c>
      <c r="J3255" s="16">
        <v>16.785190918978</v>
      </c>
      <c r="K3255" s="16">
        <v>-96.569838570029006</v>
      </c>
      <c r="L3255" s="16" t="str">
        <f>HYPERLINK("https://maps.google.com/?q=16.785190918978,-96.569838570029", "🔗 Ver Mapa")</f>
        <v>🔗 Ver Mapa</v>
      </c>
    </row>
    <row r="3256" spans="1:12" ht="43.5" x14ac:dyDescent="0.35">
      <c r="A3256" s="6" t="s">
        <v>4</v>
      </c>
      <c r="B3256" s="6" t="s">
        <v>17</v>
      </c>
      <c r="C3256" s="6" t="s">
        <v>1563</v>
      </c>
      <c r="D3256" s="11" t="s">
        <v>64</v>
      </c>
      <c r="E3256" s="17" t="s">
        <v>75</v>
      </c>
      <c r="F3256" s="17" t="s">
        <v>149</v>
      </c>
      <c r="G3256" s="11" t="s">
        <v>1561</v>
      </c>
      <c r="H3256" s="11" t="s">
        <v>1562</v>
      </c>
      <c r="I3256" s="17" t="s">
        <v>296</v>
      </c>
      <c r="J3256" s="17">
        <v>16.785200923236999</v>
      </c>
      <c r="K3256" s="17">
        <v>-96.576095560514005</v>
      </c>
      <c r="L3256" s="17" t="str">
        <f>HYPERLINK("https://maps.google.com/?q=16.785200923237,-96.576095560514", "🔗 Ver Mapa")</f>
        <v>🔗 Ver Mapa</v>
      </c>
    </row>
    <row r="3257" spans="1:12" ht="43.5" x14ac:dyDescent="0.35">
      <c r="A3257" s="5" t="s">
        <v>4</v>
      </c>
      <c r="B3257" s="5" t="s">
        <v>17</v>
      </c>
      <c r="C3257" s="5" t="s">
        <v>1563</v>
      </c>
      <c r="D3257" s="8" t="s">
        <v>64</v>
      </c>
      <c r="E3257" s="16" t="s">
        <v>75</v>
      </c>
      <c r="F3257" s="16" t="s">
        <v>149</v>
      </c>
      <c r="G3257" s="8" t="s">
        <v>1561</v>
      </c>
      <c r="H3257" s="8" t="s">
        <v>1562</v>
      </c>
      <c r="I3257" s="16" t="s">
        <v>296</v>
      </c>
      <c r="J3257" s="16">
        <v>16.785232920346001</v>
      </c>
      <c r="K3257" s="16">
        <v>-96.576221565988007</v>
      </c>
      <c r="L3257" s="16" t="str">
        <f>HYPERLINK("https://maps.google.com/?q=16.785232920346,-96.576221565988", "🔗 Ver Mapa")</f>
        <v>🔗 Ver Mapa</v>
      </c>
    </row>
    <row r="3258" spans="1:12" ht="43.5" x14ac:dyDescent="0.35">
      <c r="A3258" s="6" t="s">
        <v>4</v>
      </c>
      <c r="B3258" s="6" t="s">
        <v>17</v>
      </c>
      <c r="C3258" s="6" t="s">
        <v>1563</v>
      </c>
      <c r="D3258" s="11" t="s">
        <v>64</v>
      </c>
      <c r="E3258" s="17" t="s">
        <v>75</v>
      </c>
      <c r="F3258" s="17" t="s">
        <v>149</v>
      </c>
      <c r="G3258" s="11" t="s">
        <v>1561</v>
      </c>
      <c r="H3258" s="11" t="s">
        <v>1562</v>
      </c>
      <c r="I3258" s="17" t="s">
        <v>296</v>
      </c>
      <c r="J3258" s="17">
        <v>16.785234921775</v>
      </c>
      <c r="K3258" s="17">
        <v>-96.565886566299</v>
      </c>
      <c r="L3258" s="17" t="str">
        <f>HYPERLINK("https://maps.google.com/?q=16.785234921775,-96.565886566299", "🔗 Ver Mapa")</f>
        <v>🔗 Ver Mapa</v>
      </c>
    </row>
    <row r="3259" spans="1:12" ht="43.5" x14ac:dyDescent="0.35">
      <c r="A3259" s="5" t="s">
        <v>4</v>
      </c>
      <c r="B3259" s="5" t="s">
        <v>17</v>
      </c>
      <c r="C3259" s="5" t="s">
        <v>1563</v>
      </c>
      <c r="D3259" s="8" t="s">
        <v>64</v>
      </c>
      <c r="E3259" s="16" t="s">
        <v>75</v>
      </c>
      <c r="F3259" s="16" t="s">
        <v>149</v>
      </c>
      <c r="G3259" s="8" t="s">
        <v>1561</v>
      </c>
      <c r="H3259" s="8" t="s">
        <v>1562</v>
      </c>
      <c r="I3259" s="16" t="s">
        <v>296</v>
      </c>
      <c r="J3259" s="16">
        <v>16.785246920146001</v>
      </c>
      <c r="K3259" s="16">
        <v>-96.569850563336004</v>
      </c>
      <c r="L3259" s="16" t="str">
        <f>HYPERLINK("https://maps.google.com/?q=16.785246920146,-96.569850563336", "🔗 Ver Mapa")</f>
        <v>🔗 Ver Mapa</v>
      </c>
    </row>
    <row r="3260" spans="1:12" ht="43.5" x14ac:dyDescent="0.35">
      <c r="A3260" s="6" t="s">
        <v>4</v>
      </c>
      <c r="B3260" s="6" t="s">
        <v>17</v>
      </c>
      <c r="C3260" s="6" t="s">
        <v>1563</v>
      </c>
      <c r="D3260" s="11" t="s">
        <v>64</v>
      </c>
      <c r="E3260" s="17" t="s">
        <v>75</v>
      </c>
      <c r="F3260" s="17" t="s">
        <v>149</v>
      </c>
      <c r="G3260" s="11" t="s">
        <v>1561</v>
      </c>
      <c r="H3260" s="11" t="s">
        <v>1562</v>
      </c>
      <c r="I3260" s="17" t="s">
        <v>296</v>
      </c>
      <c r="J3260" s="17">
        <v>16.785263919767999</v>
      </c>
      <c r="K3260" s="17">
        <v>-96.572887562635003</v>
      </c>
      <c r="L3260" s="17" t="str">
        <f>HYPERLINK("https://maps.google.com/?q=16.785263919768,-96.572887562635", "🔗 Ver Mapa")</f>
        <v>🔗 Ver Mapa</v>
      </c>
    </row>
    <row r="3261" spans="1:12" ht="43.5" x14ac:dyDescent="0.35">
      <c r="A3261" s="5" t="s">
        <v>4</v>
      </c>
      <c r="B3261" s="5" t="s">
        <v>17</v>
      </c>
      <c r="C3261" s="5" t="s">
        <v>1563</v>
      </c>
      <c r="D3261" s="8" t="s">
        <v>64</v>
      </c>
      <c r="E3261" s="16" t="s">
        <v>75</v>
      </c>
      <c r="F3261" s="16" t="s">
        <v>149</v>
      </c>
      <c r="G3261" s="8" t="s">
        <v>1561</v>
      </c>
      <c r="H3261" s="8" t="s">
        <v>1562</v>
      </c>
      <c r="I3261" s="16" t="s">
        <v>296</v>
      </c>
      <c r="J3261" s="16">
        <v>16.785266919845999</v>
      </c>
      <c r="K3261" s="16">
        <v>-96.566049570738997</v>
      </c>
      <c r="L3261" s="16" t="str">
        <f>HYPERLINK("https://maps.google.com/?q=16.785266919846,-96.566049570739", "🔗 Ver Mapa")</f>
        <v>🔗 Ver Mapa</v>
      </c>
    </row>
    <row r="3262" spans="1:12" ht="43.5" x14ac:dyDescent="0.35">
      <c r="A3262" s="6" t="s">
        <v>4</v>
      </c>
      <c r="B3262" s="6" t="s">
        <v>17</v>
      </c>
      <c r="C3262" s="6" t="s">
        <v>1563</v>
      </c>
      <c r="D3262" s="11" t="s">
        <v>64</v>
      </c>
      <c r="E3262" s="17" t="s">
        <v>75</v>
      </c>
      <c r="F3262" s="17" t="s">
        <v>149</v>
      </c>
      <c r="G3262" s="11" t="s">
        <v>1561</v>
      </c>
      <c r="H3262" s="11" t="s">
        <v>1562</v>
      </c>
      <c r="I3262" s="17" t="s">
        <v>296</v>
      </c>
      <c r="J3262" s="17">
        <v>16.785281918860001</v>
      </c>
      <c r="K3262" s="17">
        <v>-96.576397560337</v>
      </c>
      <c r="L3262" s="17" t="str">
        <f>HYPERLINK("https://maps.google.com/?q=16.78528191886,-96.576397560337", "🔗 Ver Mapa")</f>
        <v>🔗 Ver Mapa</v>
      </c>
    </row>
    <row r="3263" spans="1:12" ht="43.5" x14ac:dyDescent="0.35">
      <c r="A3263" s="5" t="s">
        <v>4</v>
      </c>
      <c r="B3263" s="5" t="s">
        <v>17</v>
      </c>
      <c r="C3263" s="5" t="s">
        <v>1563</v>
      </c>
      <c r="D3263" s="8" t="s">
        <v>64</v>
      </c>
      <c r="E3263" s="16" t="s">
        <v>75</v>
      </c>
      <c r="F3263" s="16" t="s">
        <v>149</v>
      </c>
      <c r="G3263" s="8" t="s">
        <v>1561</v>
      </c>
      <c r="H3263" s="8" t="s">
        <v>1562</v>
      </c>
      <c r="I3263" s="16" t="s">
        <v>296</v>
      </c>
      <c r="J3263" s="16">
        <v>16.785282917423</v>
      </c>
      <c r="K3263" s="16">
        <v>-96.574166559819005</v>
      </c>
      <c r="L3263" s="16" t="str">
        <f>HYPERLINK("https://maps.google.com/?q=16.785282917423,-96.574166559819", "🔗 Ver Mapa")</f>
        <v>🔗 Ver Mapa</v>
      </c>
    </row>
    <row r="3264" spans="1:12" ht="43.5" x14ac:dyDescent="0.35">
      <c r="A3264" s="6" t="s">
        <v>4</v>
      </c>
      <c r="B3264" s="6" t="s">
        <v>17</v>
      </c>
      <c r="C3264" s="6" t="s">
        <v>1563</v>
      </c>
      <c r="D3264" s="11" t="s">
        <v>64</v>
      </c>
      <c r="E3264" s="17" t="s">
        <v>75</v>
      </c>
      <c r="F3264" s="17" t="s">
        <v>149</v>
      </c>
      <c r="G3264" s="11" t="s">
        <v>1561</v>
      </c>
      <c r="H3264" s="11" t="s">
        <v>1562</v>
      </c>
      <c r="I3264" s="17" t="s">
        <v>296</v>
      </c>
      <c r="J3264" s="17">
        <v>16.785284925357999</v>
      </c>
      <c r="K3264" s="17">
        <v>-96.566118571375995</v>
      </c>
      <c r="L3264" s="17" t="str">
        <f>HYPERLINK("https://maps.google.com/?q=16.785284925358,-96.566118571376", "🔗 Ver Mapa")</f>
        <v>🔗 Ver Mapa</v>
      </c>
    </row>
    <row r="3265" spans="1:12" ht="43.5" x14ac:dyDescent="0.35">
      <c r="A3265" s="5" t="s">
        <v>4</v>
      </c>
      <c r="B3265" s="5" t="s">
        <v>17</v>
      </c>
      <c r="C3265" s="5" t="s">
        <v>1563</v>
      </c>
      <c r="D3265" s="8" t="s">
        <v>64</v>
      </c>
      <c r="E3265" s="16" t="s">
        <v>75</v>
      </c>
      <c r="F3265" s="16" t="s">
        <v>149</v>
      </c>
      <c r="G3265" s="8" t="s">
        <v>1561</v>
      </c>
      <c r="H3265" s="8" t="s">
        <v>1562</v>
      </c>
      <c r="I3265" s="16" t="s">
        <v>296</v>
      </c>
      <c r="J3265" s="16">
        <v>16.785294919510999</v>
      </c>
      <c r="K3265" s="16">
        <v>-96.565825564137</v>
      </c>
      <c r="L3265" s="16" t="str">
        <f>HYPERLINK("https://maps.google.com/?q=16.785294919511,-96.565825564137", "🔗 Ver Mapa")</f>
        <v>🔗 Ver Mapa</v>
      </c>
    </row>
    <row r="3266" spans="1:12" ht="43.5" x14ac:dyDescent="0.35">
      <c r="A3266" s="6" t="s">
        <v>4</v>
      </c>
      <c r="B3266" s="6" t="s">
        <v>17</v>
      </c>
      <c r="C3266" s="6" t="s">
        <v>1563</v>
      </c>
      <c r="D3266" s="11" t="s">
        <v>64</v>
      </c>
      <c r="E3266" s="17" t="s">
        <v>75</v>
      </c>
      <c r="F3266" s="17" t="s">
        <v>149</v>
      </c>
      <c r="G3266" s="11" t="s">
        <v>1561</v>
      </c>
      <c r="H3266" s="11" t="s">
        <v>1562</v>
      </c>
      <c r="I3266" s="17" t="s">
        <v>296</v>
      </c>
      <c r="J3266" s="17">
        <v>16.785294921180999</v>
      </c>
      <c r="K3266" s="17">
        <v>-96.569837565632994</v>
      </c>
      <c r="L3266" s="17" t="str">
        <f>HYPERLINK("https://maps.google.com/?q=16.785294921181,-96.569837565633", "🔗 Ver Mapa")</f>
        <v>🔗 Ver Mapa</v>
      </c>
    </row>
    <row r="3267" spans="1:12" ht="43.5" x14ac:dyDescent="0.35">
      <c r="A3267" s="5" t="s">
        <v>4</v>
      </c>
      <c r="B3267" s="5" t="s">
        <v>17</v>
      </c>
      <c r="C3267" s="5" t="s">
        <v>1563</v>
      </c>
      <c r="D3267" s="8" t="s">
        <v>64</v>
      </c>
      <c r="E3267" s="16" t="s">
        <v>75</v>
      </c>
      <c r="F3267" s="16" t="s">
        <v>149</v>
      </c>
      <c r="G3267" s="8" t="s">
        <v>1561</v>
      </c>
      <c r="H3267" s="8" t="s">
        <v>1562</v>
      </c>
      <c r="I3267" s="16" t="s">
        <v>296</v>
      </c>
      <c r="J3267" s="16">
        <v>16.785300920600001</v>
      </c>
      <c r="K3267" s="16">
        <v>-96.576455559894001</v>
      </c>
      <c r="L3267" s="16" t="str">
        <f>HYPERLINK("https://maps.google.com/?q=16.7853009206,-96.576455559894", "🔗 Ver Mapa")</f>
        <v>🔗 Ver Mapa</v>
      </c>
    </row>
    <row r="3268" spans="1:12" ht="43.5" x14ac:dyDescent="0.35">
      <c r="A3268" s="6" t="s">
        <v>4</v>
      </c>
      <c r="B3268" s="6" t="s">
        <v>17</v>
      </c>
      <c r="C3268" s="6" t="s">
        <v>1563</v>
      </c>
      <c r="D3268" s="11" t="s">
        <v>64</v>
      </c>
      <c r="E3268" s="17" t="s">
        <v>75</v>
      </c>
      <c r="F3268" s="17" t="s">
        <v>149</v>
      </c>
      <c r="G3268" s="11" t="s">
        <v>1561</v>
      </c>
      <c r="H3268" s="11" t="s">
        <v>1562</v>
      </c>
      <c r="I3268" s="17" t="s">
        <v>296</v>
      </c>
      <c r="J3268" s="17">
        <v>16.785314919790999</v>
      </c>
      <c r="K3268" s="17">
        <v>-96.563273569193996</v>
      </c>
      <c r="L3268" s="17" t="str">
        <f>HYPERLINK("https://maps.google.com/?q=16.785314919791,-96.563273569194", "🔗 Ver Mapa")</f>
        <v>🔗 Ver Mapa</v>
      </c>
    </row>
    <row r="3269" spans="1:12" ht="43.5" x14ac:dyDescent="0.35">
      <c r="A3269" s="5" t="s">
        <v>4</v>
      </c>
      <c r="B3269" s="5" t="s">
        <v>17</v>
      </c>
      <c r="C3269" s="5" t="s">
        <v>1563</v>
      </c>
      <c r="D3269" s="8" t="s">
        <v>64</v>
      </c>
      <c r="E3269" s="16" t="s">
        <v>75</v>
      </c>
      <c r="F3269" s="16" t="s">
        <v>149</v>
      </c>
      <c r="G3269" s="8" t="s">
        <v>1561</v>
      </c>
      <c r="H3269" s="8" t="s">
        <v>1562</v>
      </c>
      <c r="I3269" s="16" t="s">
        <v>296</v>
      </c>
      <c r="J3269" s="16">
        <v>16.785317925680001</v>
      </c>
      <c r="K3269" s="16">
        <v>-96.563327570168994</v>
      </c>
      <c r="L3269" s="16" t="str">
        <f>HYPERLINK("https://maps.google.com/?q=16.78531792568,-96.563327570169", "🔗 Ver Mapa")</f>
        <v>🔗 Ver Mapa</v>
      </c>
    </row>
    <row r="3270" spans="1:12" ht="43.5" x14ac:dyDescent="0.35">
      <c r="A3270" s="6" t="s">
        <v>4</v>
      </c>
      <c r="B3270" s="6" t="s">
        <v>17</v>
      </c>
      <c r="C3270" s="6" t="s">
        <v>1563</v>
      </c>
      <c r="D3270" s="11" t="s">
        <v>64</v>
      </c>
      <c r="E3270" s="17" t="s">
        <v>75</v>
      </c>
      <c r="F3270" s="17" t="s">
        <v>149</v>
      </c>
      <c r="G3270" s="11" t="s">
        <v>1561</v>
      </c>
      <c r="H3270" s="11" t="s">
        <v>1562</v>
      </c>
      <c r="I3270" s="17" t="s">
        <v>296</v>
      </c>
      <c r="J3270" s="17">
        <v>16.785320918524999</v>
      </c>
      <c r="K3270" s="17">
        <v>-96.576537561373996</v>
      </c>
      <c r="L3270" s="17" t="str">
        <f>HYPERLINK("https://maps.google.com/?q=16.785320918525,-96.576537561374", "🔗 Ver Mapa")</f>
        <v>🔗 Ver Mapa</v>
      </c>
    </row>
    <row r="3271" spans="1:12" ht="43.5" x14ac:dyDescent="0.35">
      <c r="A3271" s="5" t="s">
        <v>4</v>
      </c>
      <c r="B3271" s="5" t="s">
        <v>17</v>
      </c>
      <c r="C3271" s="5" t="s">
        <v>1563</v>
      </c>
      <c r="D3271" s="8" t="s">
        <v>64</v>
      </c>
      <c r="E3271" s="16" t="s">
        <v>75</v>
      </c>
      <c r="F3271" s="16" t="s">
        <v>149</v>
      </c>
      <c r="G3271" s="8" t="s">
        <v>1561</v>
      </c>
      <c r="H3271" s="8" t="s">
        <v>1562</v>
      </c>
      <c r="I3271" s="16" t="s">
        <v>296</v>
      </c>
      <c r="J3271" s="16">
        <v>16.785320922804999</v>
      </c>
      <c r="K3271" s="16">
        <v>-96.565698568808997</v>
      </c>
      <c r="L3271" s="16" t="str">
        <f>HYPERLINK("https://maps.google.com/?q=16.785320922805,-96.565698568809", "🔗 Ver Mapa")</f>
        <v>🔗 Ver Mapa</v>
      </c>
    </row>
    <row r="3272" spans="1:12" ht="43.5" x14ac:dyDescent="0.35">
      <c r="A3272" s="6" t="s">
        <v>4</v>
      </c>
      <c r="B3272" s="6" t="s">
        <v>17</v>
      </c>
      <c r="C3272" s="6" t="s">
        <v>1563</v>
      </c>
      <c r="D3272" s="11" t="s">
        <v>64</v>
      </c>
      <c r="E3272" s="17" t="s">
        <v>75</v>
      </c>
      <c r="F3272" s="17" t="s">
        <v>149</v>
      </c>
      <c r="G3272" s="11" t="s">
        <v>1561</v>
      </c>
      <c r="H3272" s="11" t="s">
        <v>1562</v>
      </c>
      <c r="I3272" s="17" t="s">
        <v>296</v>
      </c>
      <c r="J3272" s="17">
        <v>16.785324923705002</v>
      </c>
      <c r="K3272" s="17">
        <v>-96.574131565827997</v>
      </c>
      <c r="L3272" s="17" t="str">
        <f>HYPERLINK("https://maps.google.com/?q=16.785324923705,-96.574131565828", "🔗 Ver Mapa")</f>
        <v>🔗 Ver Mapa</v>
      </c>
    </row>
    <row r="3273" spans="1:12" ht="43.5" x14ac:dyDescent="0.35">
      <c r="A3273" s="5" t="s">
        <v>4</v>
      </c>
      <c r="B3273" s="5" t="s">
        <v>17</v>
      </c>
      <c r="C3273" s="5" t="s">
        <v>1563</v>
      </c>
      <c r="D3273" s="8" t="s">
        <v>64</v>
      </c>
      <c r="E3273" s="16" t="s">
        <v>75</v>
      </c>
      <c r="F3273" s="16" t="s">
        <v>149</v>
      </c>
      <c r="G3273" s="8" t="s">
        <v>1561</v>
      </c>
      <c r="H3273" s="8" t="s">
        <v>1562</v>
      </c>
      <c r="I3273" s="16" t="s">
        <v>296</v>
      </c>
      <c r="J3273" s="16">
        <v>16.785325919936</v>
      </c>
      <c r="K3273" s="16">
        <v>-96.563018572941999</v>
      </c>
      <c r="L3273" s="16" t="str">
        <f>HYPERLINK("https://maps.google.com/?q=16.785325919936,-96.563018572942", "🔗 Ver Mapa")</f>
        <v>🔗 Ver Mapa</v>
      </c>
    </row>
    <row r="3274" spans="1:12" ht="43.5" x14ac:dyDescent="0.35">
      <c r="A3274" s="6" t="s">
        <v>4</v>
      </c>
      <c r="B3274" s="6" t="s">
        <v>17</v>
      </c>
      <c r="C3274" s="6" t="s">
        <v>1563</v>
      </c>
      <c r="D3274" s="11" t="s">
        <v>64</v>
      </c>
      <c r="E3274" s="17" t="s">
        <v>75</v>
      </c>
      <c r="F3274" s="17" t="s">
        <v>149</v>
      </c>
      <c r="G3274" s="11" t="s">
        <v>1561</v>
      </c>
      <c r="H3274" s="11" t="s">
        <v>1562</v>
      </c>
      <c r="I3274" s="17" t="s">
        <v>296</v>
      </c>
      <c r="J3274" s="17">
        <v>16.785336922671998</v>
      </c>
      <c r="K3274" s="17">
        <v>-96.563440573180003</v>
      </c>
      <c r="L3274" s="17" t="str">
        <f>HYPERLINK("https://maps.google.com/?q=16.785336922672,-96.56344057318", "🔗 Ver Mapa")</f>
        <v>🔗 Ver Mapa</v>
      </c>
    </row>
    <row r="3275" spans="1:12" ht="43.5" x14ac:dyDescent="0.35">
      <c r="A3275" s="5" t="s">
        <v>4</v>
      </c>
      <c r="B3275" s="5" t="s">
        <v>17</v>
      </c>
      <c r="C3275" s="5" t="s">
        <v>1563</v>
      </c>
      <c r="D3275" s="8" t="s">
        <v>64</v>
      </c>
      <c r="E3275" s="16" t="s">
        <v>75</v>
      </c>
      <c r="F3275" s="16" t="s">
        <v>149</v>
      </c>
      <c r="G3275" s="8" t="s">
        <v>1561</v>
      </c>
      <c r="H3275" s="8" t="s">
        <v>1562</v>
      </c>
      <c r="I3275" s="16" t="s">
        <v>296</v>
      </c>
      <c r="J3275" s="16">
        <v>16.7853602</v>
      </c>
      <c r="K3275" s="16">
        <v>-96.585906879999996</v>
      </c>
      <c r="L3275" s="16" t="str">
        <f>HYPERLINK("https://maps.google.com/?q=16.7853602,-96.58590688", "🔗 Ver Mapa")</f>
        <v>🔗 Ver Mapa</v>
      </c>
    </row>
    <row r="3276" spans="1:12" ht="43.5" x14ac:dyDescent="0.35">
      <c r="A3276" s="6" t="s">
        <v>4</v>
      </c>
      <c r="B3276" s="6" t="s">
        <v>17</v>
      </c>
      <c r="C3276" s="6" t="s">
        <v>1563</v>
      </c>
      <c r="D3276" s="11" t="s">
        <v>64</v>
      </c>
      <c r="E3276" s="17" t="s">
        <v>75</v>
      </c>
      <c r="F3276" s="17" t="s">
        <v>149</v>
      </c>
      <c r="G3276" s="11" t="s">
        <v>1561</v>
      </c>
      <c r="H3276" s="11" t="s">
        <v>1562</v>
      </c>
      <c r="I3276" s="17" t="s">
        <v>296</v>
      </c>
      <c r="J3276" s="17">
        <v>16.785361918347999</v>
      </c>
      <c r="K3276" s="17">
        <v>-96.571971563046006</v>
      </c>
      <c r="L3276" s="17" t="str">
        <f>HYPERLINK("https://maps.google.com/?q=16.785361918348,-96.571971563046", "🔗 Ver Mapa")</f>
        <v>🔗 Ver Mapa</v>
      </c>
    </row>
    <row r="3277" spans="1:12" ht="43.5" x14ac:dyDescent="0.35">
      <c r="A3277" s="5" t="s">
        <v>4</v>
      </c>
      <c r="B3277" s="5" t="s">
        <v>17</v>
      </c>
      <c r="C3277" s="5" t="s">
        <v>1563</v>
      </c>
      <c r="D3277" s="8" t="s">
        <v>64</v>
      </c>
      <c r="E3277" s="16" t="s">
        <v>75</v>
      </c>
      <c r="F3277" s="16" t="s">
        <v>149</v>
      </c>
      <c r="G3277" s="8" t="s">
        <v>1561</v>
      </c>
      <c r="H3277" s="8" t="s">
        <v>1562</v>
      </c>
      <c r="I3277" s="16" t="s">
        <v>296</v>
      </c>
      <c r="J3277" s="16">
        <v>16.785370919816</v>
      </c>
      <c r="K3277" s="16">
        <v>-96.572987568372994</v>
      </c>
      <c r="L3277" s="16" t="str">
        <f>HYPERLINK("https://maps.google.com/?q=16.785370919816,-96.572987568373", "🔗 Ver Mapa")</f>
        <v>🔗 Ver Mapa</v>
      </c>
    </row>
    <row r="3278" spans="1:12" ht="43.5" x14ac:dyDescent="0.35">
      <c r="A3278" s="6" t="s">
        <v>4</v>
      </c>
      <c r="B3278" s="6" t="s">
        <v>17</v>
      </c>
      <c r="C3278" s="6" t="s">
        <v>1563</v>
      </c>
      <c r="D3278" s="11" t="s">
        <v>64</v>
      </c>
      <c r="E3278" s="17" t="s">
        <v>75</v>
      </c>
      <c r="F3278" s="17" t="s">
        <v>149</v>
      </c>
      <c r="G3278" s="11" t="s">
        <v>1561</v>
      </c>
      <c r="H3278" s="11" t="s">
        <v>1562</v>
      </c>
      <c r="I3278" s="17" t="s">
        <v>296</v>
      </c>
      <c r="J3278" s="17">
        <v>16.785379924950998</v>
      </c>
      <c r="K3278" s="17">
        <v>-96.563674570206999</v>
      </c>
      <c r="L3278" s="17" t="str">
        <f>HYPERLINK("https://maps.google.com/?q=16.785379924951,-96.563674570207", "🔗 Ver Mapa")</f>
        <v>🔗 Ver Mapa</v>
      </c>
    </row>
    <row r="3279" spans="1:12" ht="43.5" x14ac:dyDescent="0.35">
      <c r="A3279" s="5" t="s">
        <v>4</v>
      </c>
      <c r="B3279" s="5" t="s">
        <v>17</v>
      </c>
      <c r="C3279" s="5" t="s">
        <v>1563</v>
      </c>
      <c r="D3279" s="8" t="s">
        <v>64</v>
      </c>
      <c r="E3279" s="16" t="s">
        <v>75</v>
      </c>
      <c r="F3279" s="16" t="s">
        <v>149</v>
      </c>
      <c r="G3279" s="8" t="s">
        <v>1561</v>
      </c>
      <c r="H3279" s="8" t="s">
        <v>1562</v>
      </c>
      <c r="I3279" s="16" t="s">
        <v>296</v>
      </c>
      <c r="J3279" s="16">
        <v>16.785389922351001</v>
      </c>
      <c r="K3279" s="16">
        <v>-96.565516564069995</v>
      </c>
      <c r="L3279" s="16" t="str">
        <f>HYPERLINK("https://maps.google.com/?q=16.785389922351,-96.56551656407", "🔗 Ver Mapa")</f>
        <v>🔗 Ver Mapa</v>
      </c>
    </row>
    <row r="3280" spans="1:12" ht="43.5" x14ac:dyDescent="0.35">
      <c r="A3280" s="6" t="s">
        <v>4</v>
      </c>
      <c r="B3280" s="6" t="s">
        <v>17</v>
      </c>
      <c r="C3280" s="6" t="s">
        <v>1563</v>
      </c>
      <c r="D3280" s="11" t="s">
        <v>64</v>
      </c>
      <c r="E3280" s="17" t="s">
        <v>75</v>
      </c>
      <c r="F3280" s="17" t="s">
        <v>149</v>
      </c>
      <c r="G3280" s="11" t="s">
        <v>1561</v>
      </c>
      <c r="H3280" s="11" t="s">
        <v>1562</v>
      </c>
      <c r="I3280" s="17" t="s">
        <v>296</v>
      </c>
      <c r="J3280" s="17">
        <v>16.785392924231001</v>
      </c>
      <c r="K3280" s="17">
        <v>-96.563713571912004</v>
      </c>
      <c r="L3280" s="17" t="str">
        <f>HYPERLINK("https://maps.google.com/?q=16.785392924231,-96.563713571912", "🔗 Ver Mapa")</f>
        <v>🔗 Ver Mapa</v>
      </c>
    </row>
    <row r="3281" spans="1:12" ht="43.5" x14ac:dyDescent="0.35">
      <c r="A3281" s="5" t="s">
        <v>4</v>
      </c>
      <c r="B3281" s="5" t="s">
        <v>17</v>
      </c>
      <c r="C3281" s="5" t="s">
        <v>1563</v>
      </c>
      <c r="D3281" s="8" t="s">
        <v>64</v>
      </c>
      <c r="E3281" s="16" t="s">
        <v>75</v>
      </c>
      <c r="F3281" s="16" t="s">
        <v>149</v>
      </c>
      <c r="G3281" s="8" t="s">
        <v>1561</v>
      </c>
      <c r="H3281" s="8" t="s">
        <v>1562</v>
      </c>
      <c r="I3281" s="16" t="s">
        <v>296</v>
      </c>
      <c r="J3281" s="16">
        <v>16.785396916027</v>
      </c>
      <c r="K3281" s="16">
        <v>-96.576670566670998</v>
      </c>
      <c r="L3281" s="16" t="str">
        <f>HYPERLINK("https://maps.google.com/?q=16.785396916027,-96.576670566671", "🔗 Ver Mapa")</f>
        <v>🔗 Ver Mapa</v>
      </c>
    </row>
    <row r="3282" spans="1:12" ht="43.5" x14ac:dyDescent="0.35">
      <c r="A3282" s="6" t="s">
        <v>4</v>
      </c>
      <c r="B3282" s="6" t="s">
        <v>17</v>
      </c>
      <c r="C3282" s="6" t="s">
        <v>1563</v>
      </c>
      <c r="D3282" s="11" t="s">
        <v>64</v>
      </c>
      <c r="E3282" s="17" t="s">
        <v>75</v>
      </c>
      <c r="F3282" s="17" t="s">
        <v>149</v>
      </c>
      <c r="G3282" s="11" t="s">
        <v>1561</v>
      </c>
      <c r="H3282" s="11" t="s">
        <v>1562</v>
      </c>
      <c r="I3282" s="17" t="s">
        <v>296</v>
      </c>
      <c r="J3282" s="17">
        <v>16.785400921872998</v>
      </c>
      <c r="K3282" s="17">
        <v>-96.569941567415995</v>
      </c>
      <c r="L3282" s="17" t="str">
        <f>HYPERLINK("https://maps.google.com/?q=16.785400921873,-96.569941567416", "🔗 Ver Mapa")</f>
        <v>🔗 Ver Mapa</v>
      </c>
    </row>
    <row r="3283" spans="1:12" ht="43.5" x14ac:dyDescent="0.35">
      <c r="A3283" s="5" t="s">
        <v>4</v>
      </c>
      <c r="B3283" s="5" t="s">
        <v>17</v>
      </c>
      <c r="C3283" s="5" t="s">
        <v>1563</v>
      </c>
      <c r="D3283" s="8" t="s">
        <v>64</v>
      </c>
      <c r="E3283" s="16" t="s">
        <v>75</v>
      </c>
      <c r="F3283" s="16" t="s">
        <v>149</v>
      </c>
      <c r="G3283" s="8" t="s">
        <v>1561</v>
      </c>
      <c r="H3283" s="8" t="s">
        <v>1562</v>
      </c>
      <c r="I3283" s="16" t="s">
        <v>296</v>
      </c>
      <c r="J3283" s="16">
        <v>16.785412925635001</v>
      </c>
      <c r="K3283" s="16">
        <v>-96.562732572507002</v>
      </c>
      <c r="L3283" s="16" t="str">
        <f>HYPERLINK("https://maps.google.com/?q=16.785412925635,-96.562732572507", "🔗 Ver Mapa")</f>
        <v>🔗 Ver Mapa</v>
      </c>
    </row>
    <row r="3284" spans="1:12" ht="43.5" x14ac:dyDescent="0.35">
      <c r="A3284" s="6" t="s">
        <v>4</v>
      </c>
      <c r="B3284" s="6" t="s">
        <v>17</v>
      </c>
      <c r="C3284" s="6" t="s">
        <v>1563</v>
      </c>
      <c r="D3284" s="11" t="s">
        <v>64</v>
      </c>
      <c r="E3284" s="17" t="s">
        <v>75</v>
      </c>
      <c r="F3284" s="17" t="s">
        <v>149</v>
      </c>
      <c r="G3284" s="11" t="s">
        <v>1561</v>
      </c>
      <c r="H3284" s="11" t="s">
        <v>1562</v>
      </c>
      <c r="I3284" s="17" t="s">
        <v>296</v>
      </c>
      <c r="J3284" s="17">
        <v>16.785416922498001</v>
      </c>
      <c r="K3284" s="17">
        <v>-96.573019568928004</v>
      </c>
      <c r="L3284" s="17" t="str">
        <f>HYPERLINK("https://maps.google.com/?q=16.785416922498,-96.573019568928", "🔗 Ver Mapa")</f>
        <v>🔗 Ver Mapa</v>
      </c>
    </row>
    <row r="3285" spans="1:12" ht="43.5" x14ac:dyDescent="0.35">
      <c r="A3285" s="5" t="s">
        <v>4</v>
      </c>
      <c r="B3285" s="5" t="s">
        <v>17</v>
      </c>
      <c r="C3285" s="5" t="s">
        <v>1563</v>
      </c>
      <c r="D3285" s="8" t="s">
        <v>64</v>
      </c>
      <c r="E3285" s="16" t="s">
        <v>75</v>
      </c>
      <c r="F3285" s="16" t="s">
        <v>149</v>
      </c>
      <c r="G3285" s="8" t="s">
        <v>1561</v>
      </c>
      <c r="H3285" s="8" t="s">
        <v>1562</v>
      </c>
      <c r="I3285" s="16" t="s">
        <v>296</v>
      </c>
      <c r="J3285" s="16">
        <v>16.785427921878</v>
      </c>
      <c r="K3285" s="16">
        <v>-96.563808564119</v>
      </c>
      <c r="L3285" s="16" t="str">
        <f>HYPERLINK("https://maps.google.com/?q=16.785427921878,-96.563808564119", "🔗 Ver Mapa")</f>
        <v>🔗 Ver Mapa</v>
      </c>
    </row>
    <row r="3286" spans="1:12" ht="43.5" x14ac:dyDescent="0.35">
      <c r="A3286" s="6" t="s">
        <v>4</v>
      </c>
      <c r="B3286" s="6" t="s">
        <v>17</v>
      </c>
      <c r="C3286" s="6" t="s">
        <v>1563</v>
      </c>
      <c r="D3286" s="11" t="s">
        <v>64</v>
      </c>
      <c r="E3286" s="17" t="s">
        <v>75</v>
      </c>
      <c r="F3286" s="17" t="s">
        <v>149</v>
      </c>
      <c r="G3286" s="11" t="s">
        <v>1561</v>
      </c>
      <c r="H3286" s="11" t="s">
        <v>1562</v>
      </c>
      <c r="I3286" s="17" t="s">
        <v>296</v>
      </c>
      <c r="J3286" s="17">
        <v>16.785431927022</v>
      </c>
      <c r="K3286" s="17">
        <v>-96.562676565350003</v>
      </c>
      <c r="L3286" s="17" t="str">
        <f>HYPERLINK("https://maps.google.com/?q=16.785431927022,-96.56267656535", "🔗 Ver Mapa")</f>
        <v>🔗 Ver Mapa</v>
      </c>
    </row>
    <row r="3287" spans="1:12" ht="43.5" x14ac:dyDescent="0.35">
      <c r="A3287" s="5" t="s">
        <v>4</v>
      </c>
      <c r="B3287" s="5" t="s">
        <v>17</v>
      </c>
      <c r="C3287" s="5" t="s">
        <v>1563</v>
      </c>
      <c r="D3287" s="8" t="s">
        <v>64</v>
      </c>
      <c r="E3287" s="16" t="s">
        <v>75</v>
      </c>
      <c r="F3287" s="16" t="s">
        <v>149</v>
      </c>
      <c r="G3287" s="8" t="s">
        <v>1561</v>
      </c>
      <c r="H3287" s="8" t="s">
        <v>1562</v>
      </c>
      <c r="I3287" s="16" t="s">
        <v>296</v>
      </c>
      <c r="J3287" s="16">
        <v>16.785432924489001</v>
      </c>
      <c r="K3287" s="16">
        <v>-96.569983562998999</v>
      </c>
      <c r="L3287" s="16" t="str">
        <f>HYPERLINK("https://maps.google.com/?q=16.785432924489,-96.569983562999", "🔗 Ver Mapa")</f>
        <v>🔗 Ver Mapa</v>
      </c>
    </row>
    <row r="3288" spans="1:12" ht="43.5" x14ac:dyDescent="0.35">
      <c r="A3288" s="6" t="s">
        <v>4</v>
      </c>
      <c r="B3288" s="6" t="s">
        <v>17</v>
      </c>
      <c r="C3288" s="6" t="s">
        <v>1563</v>
      </c>
      <c r="D3288" s="11" t="s">
        <v>64</v>
      </c>
      <c r="E3288" s="17" t="s">
        <v>75</v>
      </c>
      <c r="F3288" s="17" t="s">
        <v>149</v>
      </c>
      <c r="G3288" s="11" t="s">
        <v>1561</v>
      </c>
      <c r="H3288" s="11" t="s">
        <v>1562</v>
      </c>
      <c r="I3288" s="17" t="s">
        <v>296</v>
      </c>
      <c r="J3288" s="17">
        <v>16.785437924945001</v>
      </c>
      <c r="K3288" s="17">
        <v>-96.574111564168007</v>
      </c>
      <c r="L3288" s="17" t="str">
        <f>HYPERLINK("https://maps.google.com/?q=16.785437924945,-96.574111564168", "🔗 Ver Mapa")</f>
        <v>🔗 Ver Mapa</v>
      </c>
    </row>
    <row r="3289" spans="1:12" ht="43.5" x14ac:dyDescent="0.35">
      <c r="A3289" s="5" t="s">
        <v>4</v>
      </c>
      <c r="B3289" s="5" t="s">
        <v>17</v>
      </c>
      <c r="C3289" s="5" t="s">
        <v>1563</v>
      </c>
      <c r="D3289" s="8" t="s">
        <v>64</v>
      </c>
      <c r="E3289" s="16" t="s">
        <v>75</v>
      </c>
      <c r="F3289" s="16" t="s">
        <v>149</v>
      </c>
      <c r="G3289" s="8" t="s">
        <v>1561</v>
      </c>
      <c r="H3289" s="8" t="s">
        <v>1562</v>
      </c>
      <c r="I3289" s="16" t="s">
        <v>296</v>
      </c>
      <c r="J3289" s="16">
        <v>16.785459923076999</v>
      </c>
      <c r="K3289" s="16">
        <v>-96.570012569490004</v>
      </c>
      <c r="L3289" s="16" t="str">
        <f>HYPERLINK("https://maps.google.com/?q=16.785459923077,-96.57001256949", "🔗 Ver Mapa")</f>
        <v>🔗 Ver Mapa</v>
      </c>
    </row>
    <row r="3290" spans="1:12" ht="43.5" x14ac:dyDescent="0.35">
      <c r="A3290" s="6" t="s">
        <v>4</v>
      </c>
      <c r="B3290" s="6" t="s">
        <v>17</v>
      </c>
      <c r="C3290" s="6" t="s">
        <v>1563</v>
      </c>
      <c r="D3290" s="11" t="s">
        <v>64</v>
      </c>
      <c r="E3290" s="17" t="s">
        <v>75</v>
      </c>
      <c r="F3290" s="17" t="s">
        <v>149</v>
      </c>
      <c r="G3290" s="11" t="s">
        <v>1561</v>
      </c>
      <c r="H3290" s="11" t="s">
        <v>1562</v>
      </c>
      <c r="I3290" s="17" t="s">
        <v>296</v>
      </c>
      <c r="J3290" s="17">
        <v>16.785473920057001</v>
      </c>
      <c r="K3290" s="17">
        <v>-96.563925564428999</v>
      </c>
      <c r="L3290" s="17" t="str">
        <f>HYPERLINK("https://maps.google.com/?q=16.785473920057,-96.563925564429", "🔗 Ver Mapa")</f>
        <v>🔗 Ver Mapa</v>
      </c>
    </row>
    <row r="3291" spans="1:12" ht="43.5" x14ac:dyDescent="0.35">
      <c r="A3291" s="5" t="s">
        <v>4</v>
      </c>
      <c r="B3291" s="5" t="s">
        <v>17</v>
      </c>
      <c r="C3291" s="5" t="s">
        <v>1563</v>
      </c>
      <c r="D3291" s="8" t="s">
        <v>64</v>
      </c>
      <c r="E3291" s="16" t="s">
        <v>75</v>
      </c>
      <c r="F3291" s="16" t="s">
        <v>149</v>
      </c>
      <c r="G3291" s="8" t="s">
        <v>1561</v>
      </c>
      <c r="H3291" s="8" t="s">
        <v>1562</v>
      </c>
      <c r="I3291" s="16" t="s">
        <v>296</v>
      </c>
      <c r="J3291" s="16">
        <v>16.785481918451001</v>
      </c>
      <c r="K3291" s="16">
        <v>-96.573027566825999</v>
      </c>
      <c r="L3291" s="16" t="str">
        <f>HYPERLINK("https://maps.google.com/?q=16.785481918451,-96.573027566826", "🔗 Ver Mapa")</f>
        <v>🔗 Ver Mapa</v>
      </c>
    </row>
    <row r="3292" spans="1:12" ht="43.5" x14ac:dyDescent="0.35">
      <c r="A3292" s="6" t="s">
        <v>4</v>
      </c>
      <c r="B3292" s="6" t="s">
        <v>17</v>
      </c>
      <c r="C3292" s="6" t="s">
        <v>1563</v>
      </c>
      <c r="D3292" s="11" t="s">
        <v>64</v>
      </c>
      <c r="E3292" s="17" t="s">
        <v>75</v>
      </c>
      <c r="F3292" s="17" t="s">
        <v>149</v>
      </c>
      <c r="G3292" s="11" t="s">
        <v>1561</v>
      </c>
      <c r="H3292" s="11" t="s">
        <v>1562</v>
      </c>
      <c r="I3292" s="17" t="s">
        <v>296</v>
      </c>
      <c r="J3292" s="17">
        <v>16.785485927827999</v>
      </c>
      <c r="K3292" s="17">
        <v>-96.563968564026993</v>
      </c>
      <c r="L3292" s="17" t="str">
        <f>HYPERLINK("https://maps.google.com/?q=16.785485927828,-96.563968564027", "🔗 Ver Mapa")</f>
        <v>🔗 Ver Mapa</v>
      </c>
    </row>
    <row r="3293" spans="1:12" ht="43.5" x14ac:dyDescent="0.35">
      <c r="A3293" s="5" t="s">
        <v>4</v>
      </c>
      <c r="B3293" s="5" t="s">
        <v>17</v>
      </c>
      <c r="C3293" s="5" t="s">
        <v>1563</v>
      </c>
      <c r="D3293" s="8" t="s">
        <v>64</v>
      </c>
      <c r="E3293" s="16" t="s">
        <v>75</v>
      </c>
      <c r="F3293" s="16" t="s">
        <v>149</v>
      </c>
      <c r="G3293" s="8" t="s">
        <v>1561</v>
      </c>
      <c r="H3293" s="8" t="s">
        <v>1562</v>
      </c>
      <c r="I3293" s="16" t="s">
        <v>296</v>
      </c>
      <c r="J3293" s="16">
        <v>16.785493923562999</v>
      </c>
      <c r="K3293" s="16">
        <v>-96.562478567653002</v>
      </c>
      <c r="L3293" s="16" t="str">
        <f>HYPERLINK("https://maps.google.com/?q=16.785493923563,-96.562478567653", "🔗 Ver Mapa")</f>
        <v>🔗 Ver Mapa</v>
      </c>
    </row>
    <row r="3294" spans="1:12" ht="43.5" x14ac:dyDescent="0.35">
      <c r="A3294" s="6" t="s">
        <v>4</v>
      </c>
      <c r="B3294" s="6" t="s">
        <v>17</v>
      </c>
      <c r="C3294" s="6" t="s">
        <v>1563</v>
      </c>
      <c r="D3294" s="11" t="s">
        <v>64</v>
      </c>
      <c r="E3294" s="17" t="s">
        <v>75</v>
      </c>
      <c r="F3294" s="17" t="s">
        <v>149</v>
      </c>
      <c r="G3294" s="11" t="s">
        <v>1561</v>
      </c>
      <c r="H3294" s="11" t="s">
        <v>1562</v>
      </c>
      <c r="I3294" s="17" t="s">
        <v>296</v>
      </c>
      <c r="J3294" s="17">
        <v>16.785497919508</v>
      </c>
      <c r="K3294" s="17">
        <v>-96.576748567999005</v>
      </c>
      <c r="L3294" s="17" t="str">
        <f>HYPERLINK("https://maps.google.com/?q=16.785497919508,-96.576748567999", "🔗 Ver Mapa")</f>
        <v>🔗 Ver Mapa</v>
      </c>
    </row>
    <row r="3295" spans="1:12" ht="43.5" x14ac:dyDescent="0.35">
      <c r="A3295" s="5" t="s">
        <v>4</v>
      </c>
      <c r="B3295" s="5" t="s">
        <v>17</v>
      </c>
      <c r="C3295" s="5" t="s">
        <v>1563</v>
      </c>
      <c r="D3295" s="8" t="s">
        <v>64</v>
      </c>
      <c r="E3295" s="16" t="s">
        <v>75</v>
      </c>
      <c r="F3295" s="16" t="s">
        <v>149</v>
      </c>
      <c r="G3295" s="8" t="s">
        <v>1561</v>
      </c>
      <c r="H3295" s="8" t="s">
        <v>1562</v>
      </c>
      <c r="I3295" s="16" t="s">
        <v>296</v>
      </c>
      <c r="J3295" s="16">
        <v>16.785501920371999</v>
      </c>
      <c r="K3295" s="16">
        <v>-96.574041567763999</v>
      </c>
      <c r="L3295" s="16" t="str">
        <f>HYPERLINK("https://maps.google.com/?q=16.785501920372,-96.574041567764", "🔗 Ver Mapa")</f>
        <v>🔗 Ver Mapa</v>
      </c>
    </row>
    <row r="3296" spans="1:12" ht="43.5" x14ac:dyDescent="0.35">
      <c r="A3296" s="6" t="s">
        <v>4</v>
      </c>
      <c r="B3296" s="6" t="s">
        <v>17</v>
      </c>
      <c r="C3296" s="6" t="s">
        <v>1563</v>
      </c>
      <c r="D3296" s="11" t="s">
        <v>64</v>
      </c>
      <c r="E3296" s="17" t="s">
        <v>75</v>
      </c>
      <c r="F3296" s="17" t="s">
        <v>149</v>
      </c>
      <c r="G3296" s="11" t="s">
        <v>1561</v>
      </c>
      <c r="H3296" s="11" t="s">
        <v>1562</v>
      </c>
      <c r="I3296" s="17" t="s">
        <v>296</v>
      </c>
      <c r="J3296" s="17">
        <v>16.785508920413999</v>
      </c>
      <c r="K3296" s="17">
        <v>-96.571873561337995</v>
      </c>
      <c r="L3296" s="17" t="str">
        <f>HYPERLINK("https://maps.google.com/?q=16.785508920414,-96.571873561338", "🔗 Ver Mapa")</f>
        <v>🔗 Ver Mapa</v>
      </c>
    </row>
    <row r="3297" spans="1:12" ht="43.5" x14ac:dyDescent="0.35">
      <c r="A3297" s="5" t="s">
        <v>4</v>
      </c>
      <c r="B3297" s="5" t="s">
        <v>17</v>
      </c>
      <c r="C3297" s="5" t="s">
        <v>1563</v>
      </c>
      <c r="D3297" s="8" t="s">
        <v>64</v>
      </c>
      <c r="E3297" s="16" t="s">
        <v>75</v>
      </c>
      <c r="F3297" s="16" t="s">
        <v>149</v>
      </c>
      <c r="G3297" s="8" t="s">
        <v>1561</v>
      </c>
      <c r="H3297" s="8" t="s">
        <v>1562</v>
      </c>
      <c r="I3297" s="16" t="s">
        <v>296</v>
      </c>
      <c r="J3297" s="16">
        <v>16.785541927468</v>
      </c>
      <c r="K3297" s="16">
        <v>-96.564118565664003</v>
      </c>
      <c r="L3297" s="16" t="str">
        <f>HYPERLINK("https://maps.google.com/?q=16.785541927468,-96.564118565664", "🔗 Ver Mapa")</f>
        <v>🔗 Ver Mapa</v>
      </c>
    </row>
    <row r="3298" spans="1:12" ht="43.5" x14ac:dyDescent="0.35">
      <c r="A3298" s="6" t="s">
        <v>4</v>
      </c>
      <c r="B3298" s="6" t="s">
        <v>17</v>
      </c>
      <c r="C3298" s="6" t="s">
        <v>1563</v>
      </c>
      <c r="D3298" s="11" t="s">
        <v>64</v>
      </c>
      <c r="E3298" s="17" t="s">
        <v>75</v>
      </c>
      <c r="F3298" s="17" t="s">
        <v>149</v>
      </c>
      <c r="G3298" s="11" t="s">
        <v>1561</v>
      </c>
      <c r="H3298" s="11" t="s">
        <v>1562</v>
      </c>
      <c r="I3298" s="17" t="s">
        <v>296</v>
      </c>
      <c r="J3298" s="17">
        <v>16.78555188</v>
      </c>
      <c r="K3298" s="17">
        <v>-96.585882679999997</v>
      </c>
      <c r="L3298" s="17" t="str">
        <f>HYPERLINK("https://maps.google.com/?q=16.78555188,-96.58588268", "🔗 Ver Mapa")</f>
        <v>🔗 Ver Mapa</v>
      </c>
    </row>
    <row r="3299" spans="1:12" ht="43.5" x14ac:dyDescent="0.35">
      <c r="A3299" s="5" t="s">
        <v>4</v>
      </c>
      <c r="B3299" s="5" t="s">
        <v>17</v>
      </c>
      <c r="C3299" s="5" t="s">
        <v>1563</v>
      </c>
      <c r="D3299" s="8" t="s">
        <v>64</v>
      </c>
      <c r="E3299" s="16" t="s">
        <v>75</v>
      </c>
      <c r="F3299" s="16" t="s">
        <v>149</v>
      </c>
      <c r="G3299" s="8" t="s">
        <v>1561</v>
      </c>
      <c r="H3299" s="8" t="s">
        <v>1562</v>
      </c>
      <c r="I3299" s="16" t="s">
        <v>296</v>
      </c>
      <c r="J3299" s="16">
        <v>16.785562921202001</v>
      </c>
      <c r="K3299" s="16">
        <v>-96.571841565032997</v>
      </c>
      <c r="L3299" s="16" t="str">
        <f>HYPERLINK("https://maps.google.com/?q=16.785562921202,-96.571841565033", "🔗 Ver Mapa")</f>
        <v>🔗 Ver Mapa</v>
      </c>
    </row>
    <row r="3300" spans="1:12" ht="43.5" x14ac:dyDescent="0.35">
      <c r="A3300" s="6" t="s">
        <v>4</v>
      </c>
      <c r="B3300" s="6" t="s">
        <v>17</v>
      </c>
      <c r="C3300" s="6" t="s">
        <v>1563</v>
      </c>
      <c r="D3300" s="11" t="s">
        <v>64</v>
      </c>
      <c r="E3300" s="17" t="s">
        <v>75</v>
      </c>
      <c r="F3300" s="17" t="s">
        <v>149</v>
      </c>
      <c r="G3300" s="11" t="s">
        <v>1561</v>
      </c>
      <c r="H3300" s="11" t="s">
        <v>1562</v>
      </c>
      <c r="I3300" s="17" t="s">
        <v>296</v>
      </c>
      <c r="J3300" s="17">
        <v>16.785563926478002</v>
      </c>
      <c r="K3300" s="17">
        <v>-96.562368573480995</v>
      </c>
      <c r="L3300" s="17" t="str">
        <f>HYPERLINK("https://maps.google.com/?q=16.785563926478,-96.562368573481", "🔗 Ver Mapa")</f>
        <v>🔗 Ver Mapa</v>
      </c>
    </row>
    <row r="3301" spans="1:12" ht="43.5" x14ac:dyDescent="0.35">
      <c r="A3301" s="5" t="s">
        <v>4</v>
      </c>
      <c r="B3301" s="5" t="s">
        <v>17</v>
      </c>
      <c r="C3301" s="5" t="s">
        <v>1563</v>
      </c>
      <c r="D3301" s="8" t="s">
        <v>64</v>
      </c>
      <c r="E3301" s="16" t="s">
        <v>75</v>
      </c>
      <c r="F3301" s="16" t="s">
        <v>149</v>
      </c>
      <c r="G3301" s="8" t="s">
        <v>1561</v>
      </c>
      <c r="H3301" s="8" t="s">
        <v>1562</v>
      </c>
      <c r="I3301" s="16" t="s">
        <v>296</v>
      </c>
      <c r="J3301" s="16">
        <v>16.785579920818002</v>
      </c>
      <c r="K3301" s="16">
        <v>-96.576814564071</v>
      </c>
      <c r="L3301" s="16" t="str">
        <f>HYPERLINK("https://maps.google.com/?q=16.785579920818,-96.576814564071", "🔗 Ver Mapa")</f>
        <v>🔗 Ver Mapa</v>
      </c>
    </row>
    <row r="3302" spans="1:12" ht="43.5" x14ac:dyDescent="0.35">
      <c r="A3302" s="6" t="s">
        <v>4</v>
      </c>
      <c r="B3302" s="6" t="s">
        <v>17</v>
      </c>
      <c r="C3302" s="6" t="s">
        <v>1563</v>
      </c>
      <c r="D3302" s="11" t="s">
        <v>64</v>
      </c>
      <c r="E3302" s="17" t="s">
        <v>75</v>
      </c>
      <c r="F3302" s="17" t="s">
        <v>149</v>
      </c>
      <c r="G3302" s="11" t="s">
        <v>1561</v>
      </c>
      <c r="H3302" s="11" t="s">
        <v>1562</v>
      </c>
      <c r="I3302" s="17" t="s">
        <v>296</v>
      </c>
      <c r="J3302" s="17">
        <v>16.785581919464999</v>
      </c>
      <c r="K3302" s="17">
        <v>-96.573049560537001</v>
      </c>
      <c r="L3302" s="17" t="str">
        <f>HYPERLINK("https://maps.google.com/?q=16.785581919465,-96.573049560537", "🔗 Ver Mapa")</f>
        <v>🔗 Ver Mapa</v>
      </c>
    </row>
    <row r="3303" spans="1:12" ht="43.5" x14ac:dyDescent="0.35">
      <c r="A3303" s="5" t="s">
        <v>4</v>
      </c>
      <c r="B3303" s="5" t="s">
        <v>17</v>
      </c>
      <c r="C3303" s="5" t="s">
        <v>1563</v>
      </c>
      <c r="D3303" s="8" t="s">
        <v>64</v>
      </c>
      <c r="E3303" s="16" t="s">
        <v>75</v>
      </c>
      <c r="F3303" s="16" t="s">
        <v>149</v>
      </c>
      <c r="G3303" s="8" t="s">
        <v>1561</v>
      </c>
      <c r="H3303" s="8" t="s">
        <v>1562</v>
      </c>
      <c r="I3303" s="16" t="s">
        <v>296</v>
      </c>
      <c r="J3303" s="16">
        <v>16.785585925572001</v>
      </c>
      <c r="K3303" s="16">
        <v>-96.565412569543994</v>
      </c>
      <c r="L3303" s="16" t="str">
        <f>HYPERLINK("https://maps.google.com/?q=16.785585925572,-96.565412569544", "🔗 Ver Mapa")</f>
        <v>🔗 Ver Mapa</v>
      </c>
    </row>
    <row r="3304" spans="1:12" ht="43.5" x14ac:dyDescent="0.35">
      <c r="A3304" s="6" t="s">
        <v>4</v>
      </c>
      <c r="B3304" s="6" t="s">
        <v>17</v>
      </c>
      <c r="C3304" s="6" t="s">
        <v>1563</v>
      </c>
      <c r="D3304" s="11" t="s">
        <v>64</v>
      </c>
      <c r="E3304" s="17" t="s">
        <v>75</v>
      </c>
      <c r="F3304" s="17" t="s">
        <v>149</v>
      </c>
      <c r="G3304" s="11" t="s">
        <v>1561</v>
      </c>
      <c r="H3304" s="11" t="s">
        <v>1562</v>
      </c>
      <c r="I3304" s="17" t="s">
        <v>296</v>
      </c>
      <c r="J3304" s="17">
        <v>16.785606919538001</v>
      </c>
      <c r="K3304" s="17">
        <v>-96.570160562525004</v>
      </c>
      <c r="L3304" s="17" t="str">
        <f>HYPERLINK("https://maps.google.com/?q=16.785606919538,-96.570160562525", "🔗 Ver Mapa")</f>
        <v>🔗 Ver Mapa</v>
      </c>
    </row>
    <row r="3305" spans="1:12" ht="43.5" x14ac:dyDescent="0.35">
      <c r="A3305" s="5" t="s">
        <v>4</v>
      </c>
      <c r="B3305" s="5" t="s">
        <v>17</v>
      </c>
      <c r="C3305" s="5" t="s">
        <v>1563</v>
      </c>
      <c r="D3305" s="8" t="s">
        <v>64</v>
      </c>
      <c r="E3305" s="16" t="s">
        <v>75</v>
      </c>
      <c r="F3305" s="16" t="s">
        <v>149</v>
      </c>
      <c r="G3305" s="8" t="s">
        <v>1561</v>
      </c>
      <c r="H3305" s="8" t="s">
        <v>1562</v>
      </c>
      <c r="I3305" s="16" t="s">
        <v>296</v>
      </c>
      <c r="J3305" s="16">
        <v>16.785609919403999</v>
      </c>
      <c r="K3305" s="16">
        <v>-96.564909564442999</v>
      </c>
      <c r="L3305" s="16" t="str">
        <f>HYPERLINK("https://maps.google.com/?q=16.785609919404,-96.564909564443", "🔗 Ver Mapa")</f>
        <v>🔗 Ver Mapa</v>
      </c>
    </row>
    <row r="3306" spans="1:12" ht="43.5" x14ac:dyDescent="0.35">
      <c r="A3306" s="6" t="s">
        <v>4</v>
      </c>
      <c r="B3306" s="6" t="s">
        <v>17</v>
      </c>
      <c r="C3306" s="6" t="s">
        <v>1563</v>
      </c>
      <c r="D3306" s="11" t="s">
        <v>64</v>
      </c>
      <c r="E3306" s="17" t="s">
        <v>75</v>
      </c>
      <c r="F3306" s="17" t="s">
        <v>149</v>
      </c>
      <c r="G3306" s="11" t="s">
        <v>1561</v>
      </c>
      <c r="H3306" s="11" t="s">
        <v>1562</v>
      </c>
      <c r="I3306" s="17" t="s">
        <v>296</v>
      </c>
      <c r="J3306" s="17">
        <v>16.785610923972001</v>
      </c>
      <c r="K3306" s="17">
        <v>-96.564303565271004</v>
      </c>
      <c r="L3306" s="17" t="str">
        <f>HYPERLINK("https://maps.google.com/?q=16.785610923972,-96.564303565271", "🔗 Ver Mapa")</f>
        <v>🔗 Ver Mapa</v>
      </c>
    </row>
    <row r="3307" spans="1:12" ht="43.5" x14ac:dyDescent="0.35">
      <c r="A3307" s="5" t="s">
        <v>4</v>
      </c>
      <c r="B3307" s="5" t="s">
        <v>17</v>
      </c>
      <c r="C3307" s="5" t="s">
        <v>1563</v>
      </c>
      <c r="D3307" s="8" t="s">
        <v>64</v>
      </c>
      <c r="E3307" s="16" t="s">
        <v>75</v>
      </c>
      <c r="F3307" s="16" t="s">
        <v>149</v>
      </c>
      <c r="G3307" s="8" t="s">
        <v>1561</v>
      </c>
      <c r="H3307" s="8" t="s">
        <v>1562</v>
      </c>
      <c r="I3307" s="16" t="s">
        <v>296</v>
      </c>
      <c r="J3307" s="16">
        <v>16.785616919816999</v>
      </c>
      <c r="K3307" s="16">
        <v>-96.564938571922994</v>
      </c>
      <c r="L3307" s="16" t="str">
        <f>HYPERLINK("https://maps.google.com/?q=16.785616919817,-96.564938571923", "🔗 Ver Mapa")</f>
        <v>🔗 Ver Mapa</v>
      </c>
    </row>
    <row r="3308" spans="1:12" ht="43.5" x14ac:dyDescent="0.35">
      <c r="A3308" s="6" t="s">
        <v>4</v>
      </c>
      <c r="B3308" s="6" t="s">
        <v>17</v>
      </c>
      <c r="C3308" s="6" t="s">
        <v>1563</v>
      </c>
      <c r="D3308" s="11" t="s">
        <v>64</v>
      </c>
      <c r="E3308" s="17" t="s">
        <v>75</v>
      </c>
      <c r="F3308" s="17" t="s">
        <v>149</v>
      </c>
      <c r="G3308" s="11" t="s">
        <v>1561</v>
      </c>
      <c r="H3308" s="11" t="s">
        <v>1562</v>
      </c>
      <c r="I3308" s="17" t="s">
        <v>296</v>
      </c>
      <c r="J3308" s="17">
        <v>16.785620917391999</v>
      </c>
      <c r="K3308" s="17">
        <v>-96.571712569037999</v>
      </c>
      <c r="L3308" s="17" t="str">
        <f>HYPERLINK("https://maps.google.com/?q=16.785620917392,-96.571712569038", "🔗 Ver Mapa")</f>
        <v>🔗 Ver Mapa</v>
      </c>
    </row>
    <row r="3309" spans="1:12" ht="43.5" x14ac:dyDescent="0.35">
      <c r="A3309" s="5" t="s">
        <v>4</v>
      </c>
      <c r="B3309" s="5" t="s">
        <v>17</v>
      </c>
      <c r="C3309" s="5" t="s">
        <v>1563</v>
      </c>
      <c r="D3309" s="8" t="s">
        <v>64</v>
      </c>
      <c r="E3309" s="16" t="s">
        <v>75</v>
      </c>
      <c r="F3309" s="16" t="s">
        <v>149</v>
      </c>
      <c r="G3309" s="8" t="s">
        <v>1561</v>
      </c>
      <c r="H3309" s="8" t="s">
        <v>1562</v>
      </c>
      <c r="I3309" s="16" t="s">
        <v>296</v>
      </c>
      <c r="J3309" s="16">
        <v>16.785634923513999</v>
      </c>
      <c r="K3309" s="16">
        <v>-96.564890566743003</v>
      </c>
      <c r="L3309" s="16" t="str">
        <f>HYPERLINK("https://maps.google.com/?q=16.785634923514,-96.564890566743", "🔗 Ver Mapa")</f>
        <v>🔗 Ver Mapa</v>
      </c>
    </row>
    <row r="3310" spans="1:12" ht="43.5" x14ac:dyDescent="0.35">
      <c r="A3310" s="6" t="s">
        <v>4</v>
      </c>
      <c r="B3310" s="6" t="s">
        <v>17</v>
      </c>
      <c r="C3310" s="6" t="s">
        <v>1563</v>
      </c>
      <c r="D3310" s="11" t="s">
        <v>64</v>
      </c>
      <c r="E3310" s="17" t="s">
        <v>75</v>
      </c>
      <c r="F3310" s="17" t="s">
        <v>149</v>
      </c>
      <c r="G3310" s="11" t="s">
        <v>1561</v>
      </c>
      <c r="H3310" s="11" t="s">
        <v>1562</v>
      </c>
      <c r="I3310" s="17" t="s">
        <v>296</v>
      </c>
      <c r="J3310" s="17">
        <v>16.785638923339999</v>
      </c>
      <c r="K3310" s="17">
        <v>-96.573946563814999</v>
      </c>
      <c r="L3310" s="17" t="str">
        <f>HYPERLINK("https://maps.google.com/?q=16.78563892334,-96.573946563815", "🔗 Ver Mapa")</f>
        <v>🔗 Ver Mapa</v>
      </c>
    </row>
    <row r="3311" spans="1:12" ht="43.5" x14ac:dyDescent="0.35">
      <c r="A3311" s="5" t="s">
        <v>4</v>
      </c>
      <c r="B3311" s="5" t="s">
        <v>17</v>
      </c>
      <c r="C3311" s="5" t="s">
        <v>1563</v>
      </c>
      <c r="D3311" s="8" t="s">
        <v>64</v>
      </c>
      <c r="E3311" s="16" t="s">
        <v>75</v>
      </c>
      <c r="F3311" s="16" t="s">
        <v>149</v>
      </c>
      <c r="G3311" s="8" t="s">
        <v>1561</v>
      </c>
      <c r="H3311" s="8" t="s">
        <v>1562</v>
      </c>
      <c r="I3311" s="16" t="s">
        <v>296</v>
      </c>
      <c r="J3311" s="16">
        <v>16.785642918966001</v>
      </c>
      <c r="K3311" s="16">
        <v>-96.570197565667996</v>
      </c>
      <c r="L3311" s="16" t="str">
        <f>HYPERLINK("https://maps.google.com/?q=16.785642918966,-96.570197565668", "🔗 Ver Mapa")</f>
        <v>🔗 Ver Mapa</v>
      </c>
    </row>
    <row r="3312" spans="1:12" ht="43.5" x14ac:dyDescent="0.35">
      <c r="A3312" s="6" t="s">
        <v>4</v>
      </c>
      <c r="B3312" s="6" t="s">
        <v>17</v>
      </c>
      <c r="C3312" s="6" t="s">
        <v>1563</v>
      </c>
      <c r="D3312" s="11" t="s">
        <v>64</v>
      </c>
      <c r="E3312" s="17" t="s">
        <v>75</v>
      </c>
      <c r="F3312" s="17" t="s">
        <v>149</v>
      </c>
      <c r="G3312" s="11" t="s">
        <v>1561</v>
      </c>
      <c r="H3312" s="11" t="s">
        <v>1562</v>
      </c>
      <c r="I3312" s="17" t="s">
        <v>296</v>
      </c>
      <c r="J3312" s="17">
        <v>16.785642926581001</v>
      </c>
      <c r="K3312" s="17">
        <v>-96.565116571562001</v>
      </c>
      <c r="L3312" s="17" t="str">
        <f>HYPERLINK("https://maps.google.com/?q=16.785642926581,-96.565116571562", "🔗 Ver Mapa")</f>
        <v>🔗 Ver Mapa</v>
      </c>
    </row>
    <row r="3313" spans="1:12" ht="43.5" x14ac:dyDescent="0.35">
      <c r="A3313" s="5" t="s">
        <v>4</v>
      </c>
      <c r="B3313" s="5" t="s">
        <v>17</v>
      </c>
      <c r="C3313" s="5" t="s">
        <v>1563</v>
      </c>
      <c r="D3313" s="8" t="s">
        <v>64</v>
      </c>
      <c r="E3313" s="16" t="s">
        <v>75</v>
      </c>
      <c r="F3313" s="16" t="s">
        <v>149</v>
      </c>
      <c r="G3313" s="8" t="s">
        <v>1561</v>
      </c>
      <c r="H3313" s="8" t="s">
        <v>1562</v>
      </c>
      <c r="I3313" s="16" t="s">
        <v>296</v>
      </c>
      <c r="J3313" s="16">
        <v>16.785644923065</v>
      </c>
      <c r="K3313" s="16">
        <v>-96.565129570721993</v>
      </c>
      <c r="L3313" s="16" t="str">
        <f>HYPERLINK("https://maps.google.com/?q=16.785644923065,-96.565129570722", "🔗 Ver Mapa")</f>
        <v>🔗 Ver Mapa</v>
      </c>
    </row>
    <row r="3314" spans="1:12" ht="43.5" x14ac:dyDescent="0.35">
      <c r="A3314" s="6" t="s">
        <v>4</v>
      </c>
      <c r="B3314" s="6" t="s">
        <v>17</v>
      </c>
      <c r="C3314" s="6" t="s">
        <v>1563</v>
      </c>
      <c r="D3314" s="11" t="s">
        <v>64</v>
      </c>
      <c r="E3314" s="17" t="s">
        <v>75</v>
      </c>
      <c r="F3314" s="17" t="s">
        <v>149</v>
      </c>
      <c r="G3314" s="11" t="s">
        <v>1561</v>
      </c>
      <c r="H3314" s="11" t="s">
        <v>1562</v>
      </c>
      <c r="I3314" s="17" t="s">
        <v>296</v>
      </c>
      <c r="J3314" s="17">
        <v>16.785645917951999</v>
      </c>
      <c r="K3314" s="17">
        <v>-96.573934566155003</v>
      </c>
      <c r="L3314" s="17" t="str">
        <f>HYPERLINK("https://maps.google.com/?q=16.785645917952,-96.573934566155", "🔗 Ver Mapa")</f>
        <v>🔗 Ver Mapa</v>
      </c>
    </row>
    <row r="3315" spans="1:12" ht="43.5" x14ac:dyDescent="0.35">
      <c r="A3315" s="5" t="s">
        <v>4</v>
      </c>
      <c r="B3315" s="5" t="s">
        <v>17</v>
      </c>
      <c r="C3315" s="5" t="s">
        <v>1563</v>
      </c>
      <c r="D3315" s="8" t="s">
        <v>64</v>
      </c>
      <c r="E3315" s="16" t="s">
        <v>75</v>
      </c>
      <c r="F3315" s="16" t="s">
        <v>149</v>
      </c>
      <c r="G3315" s="8" t="s">
        <v>1561</v>
      </c>
      <c r="H3315" s="8" t="s">
        <v>1562</v>
      </c>
      <c r="I3315" s="16" t="s">
        <v>296</v>
      </c>
      <c r="J3315" s="16">
        <v>16.785646922428</v>
      </c>
      <c r="K3315" s="16">
        <v>-96.562208565519995</v>
      </c>
      <c r="L3315" s="16" t="str">
        <f>HYPERLINK("https://maps.google.com/?q=16.785646922428,-96.56220856552", "🔗 Ver Mapa")</f>
        <v>🔗 Ver Mapa</v>
      </c>
    </row>
    <row r="3316" spans="1:12" ht="43.5" x14ac:dyDescent="0.35">
      <c r="A3316" s="6" t="s">
        <v>4</v>
      </c>
      <c r="B3316" s="6" t="s">
        <v>17</v>
      </c>
      <c r="C3316" s="6" t="s">
        <v>1563</v>
      </c>
      <c r="D3316" s="11" t="s">
        <v>64</v>
      </c>
      <c r="E3316" s="17" t="s">
        <v>75</v>
      </c>
      <c r="F3316" s="17" t="s">
        <v>149</v>
      </c>
      <c r="G3316" s="11" t="s">
        <v>1561</v>
      </c>
      <c r="H3316" s="11" t="s">
        <v>1562</v>
      </c>
      <c r="I3316" s="17" t="s">
        <v>296</v>
      </c>
      <c r="J3316" s="17">
        <v>16.785650925256</v>
      </c>
      <c r="K3316" s="17">
        <v>-96.573096562767006</v>
      </c>
      <c r="L3316" s="17" t="str">
        <f>HYPERLINK("https://maps.google.com/?q=16.785650925256,-96.573096562767", "🔗 Ver Mapa")</f>
        <v>🔗 Ver Mapa</v>
      </c>
    </row>
    <row r="3317" spans="1:12" ht="43.5" x14ac:dyDescent="0.35">
      <c r="A3317" s="5" t="s">
        <v>4</v>
      </c>
      <c r="B3317" s="5" t="s">
        <v>17</v>
      </c>
      <c r="C3317" s="5" t="s">
        <v>1563</v>
      </c>
      <c r="D3317" s="8" t="s">
        <v>64</v>
      </c>
      <c r="E3317" s="16" t="s">
        <v>75</v>
      </c>
      <c r="F3317" s="16" t="s">
        <v>149</v>
      </c>
      <c r="G3317" s="8" t="s">
        <v>1561</v>
      </c>
      <c r="H3317" s="8" t="s">
        <v>1562</v>
      </c>
      <c r="I3317" s="16" t="s">
        <v>296</v>
      </c>
      <c r="J3317" s="16">
        <v>16.785654921283001</v>
      </c>
      <c r="K3317" s="16">
        <v>-96.564412564673006</v>
      </c>
      <c r="L3317" s="16" t="str">
        <f>HYPERLINK("https://maps.google.com/?q=16.785654921283,-96.564412564673", "🔗 Ver Mapa")</f>
        <v>🔗 Ver Mapa</v>
      </c>
    </row>
    <row r="3318" spans="1:12" ht="43.5" x14ac:dyDescent="0.35">
      <c r="A3318" s="6" t="s">
        <v>4</v>
      </c>
      <c r="B3318" s="6" t="s">
        <v>17</v>
      </c>
      <c r="C3318" s="6" t="s">
        <v>1563</v>
      </c>
      <c r="D3318" s="11" t="s">
        <v>64</v>
      </c>
      <c r="E3318" s="17" t="s">
        <v>75</v>
      </c>
      <c r="F3318" s="17" t="s">
        <v>149</v>
      </c>
      <c r="G3318" s="11" t="s">
        <v>1561</v>
      </c>
      <c r="H3318" s="11" t="s">
        <v>1562</v>
      </c>
      <c r="I3318" s="17" t="s">
        <v>296</v>
      </c>
      <c r="J3318" s="17">
        <v>16.785657922527001</v>
      </c>
      <c r="K3318" s="17">
        <v>-96.565039564255002</v>
      </c>
      <c r="L3318" s="17" t="str">
        <f>HYPERLINK("https://maps.google.com/?q=16.785657922527,-96.565039564255", "🔗 Ver Mapa")</f>
        <v>🔗 Ver Mapa</v>
      </c>
    </row>
    <row r="3319" spans="1:12" ht="43.5" x14ac:dyDescent="0.35">
      <c r="A3319" s="5" t="s">
        <v>4</v>
      </c>
      <c r="B3319" s="5" t="s">
        <v>17</v>
      </c>
      <c r="C3319" s="5" t="s">
        <v>1563</v>
      </c>
      <c r="D3319" s="8" t="s">
        <v>64</v>
      </c>
      <c r="E3319" s="16" t="s">
        <v>75</v>
      </c>
      <c r="F3319" s="16" t="s">
        <v>149</v>
      </c>
      <c r="G3319" s="8" t="s">
        <v>1561</v>
      </c>
      <c r="H3319" s="8" t="s">
        <v>1562</v>
      </c>
      <c r="I3319" s="16" t="s">
        <v>296</v>
      </c>
      <c r="J3319" s="16">
        <v>16.785662917052999</v>
      </c>
      <c r="K3319" s="16">
        <v>-96.573914564719999</v>
      </c>
      <c r="L3319" s="16" t="str">
        <f>HYPERLINK("https://maps.google.com/?q=16.785662917053,-96.57391456472", "🔗 Ver Mapa")</f>
        <v>🔗 Ver Mapa</v>
      </c>
    </row>
    <row r="3320" spans="1:12" ht="43.5" x14ac:dyDescent="0.35">
      <c r="A3320" s="6" t="s">
        <v>4</v>
      </c>
      <c r="B3320" s="6" t="s">
        <v>17</v>
      </c>
      <c r="C3320" s="6" t="s">
        <v>1563</v>
      </c>
      <c r="D3320" s="11" t="s">
        <v>64</v>
      </c>
      <c r="E3320" s="17" t="s">
        <v>75</v>
      </c>
      <c r="F3320" s="17" t="s">
        <v>149</v>
      </c>
      <c r="G3320" s="11" t="s">
        <v>1561</v>
      </c>
      <c r="H3320" s="11" t="s">
        <v>1562</v>
      </c>
      <c r="I3320" s="17" t="s">
        <v>296</v>
      </c>
      <c r="J3320" s="17">
        <v>16.785684920983002</v>
      </c>
      <c r="K3320" s="17">
        <v>-96.565310570882005</v>
      </c>
      <c r="L3320" s="17" t="str">
        <f>HYPERLINK("https://maps.google.com/?q=16.785684920983,-96.565310570882", "🔗 Ver Mapa")</f>
        <v>🔗 Ver Mapa</v>
      </c>
    </row>
    <row r="3321" spans="1:12" ht="43.5" x14ac:dyDescent="0.35">
      <c r="A3321" s="5" t="s">
        <v>4</v>
      </c>
      <c r="B3321" s="5" t="s">
        <v>17</v>
      </c>
      <c r="C3321" s="5" t="s">
        <v>1563</v>
      </c>
      <c r="D3321" s="8" t="s">
        <v>64</v>
      </c>
      <c r="E3321" s="16" t="s">
        <v>75</v>
      </c>
      <c r="F3321" s="16" t="s">
        <v>149</v>
      </c>
      <c r="G3321" s="8" t="s">
        <v>1561</v>
      </c>
      <c r="H3321" s="8" t="s">
        <v>1562</v>
      </c>
      <c r="I3321" s="16" t="s">
        <v>296</v>
      </c>
      <c r="J3321" s="16">
        <v>16.785686916738001</v>
      </c>
      <c r="K3321" s="16">
        <v>-96.573894568130001</v>
      </c>
      <c r="L3321" s="16" t="str">
        <f>HYPERLINK("https://maps.google.com/?q=16.785686916738,-96.57389456813", "🔗 Ver Mapa")</f>
        <v>🔗 Ver Mapa</v>
      </c>
    </row>
    <row r="3322" spans="1:12" ht="43.5" x14ac:dyDescent="0.35">
      <c r="A3322" s="6" t="s">
        <v>4</v>
      </c>
      <c r="B3322" s="6" t="s">
        <v>17</v>
      </c>
      <c r="C3322" s="6" t="s">
        <v>1563</v>
      </c>
      <c r="D3322" s="11" t="s">
        <v>64</v>
      </c>
      <c r="E3322" s="17" t="s">
        <v>75</v>
      </c>
      <c r="F3322" s="17" t="s">
        <v>149</v>
      </c>
      <c r="G3322" s="11" t="s">
        <v>1561</v>
      </c>
      <c r="H3322" s="11" t="s">
        <v>1562</v>
      </c>
      <c r="I3322" s="17" t="s">
        <v>296</v>
      </c>
      <c r="J3322" s="17">
        <v>16.785688922954002</v>
      </c>
      <c r="K3322" s="17">
        <v>-96.564858568589003</v>
      </c>
      <c r="L3322" s="17" t="str">
        <f>HYPERLINK("https://maps.google.com/?q=16.785688922954,-96.564858568589", "🔗 Ver Mapa")</f>
        <v>🔗 Ver Mapa</v>
      </c>
    </row>
    <row r="3323" spans="1:12" ht="43.5" x14ac:dyDescent="0.35">
      <c r="A3323" s="5" t="s">
        <v>4</v>
      </c>
      <c r="B3323" s="5" t="s">
        <v>17</v>
      </c>
      <c r="C3323" s="5" t="s">
        <v>1563</v>
      </c>
      <c r="D3323" s="8" t="s">
        <v>64</v>
      </c>
      <c r="E3323" s="16" t="s">
        <v>75</v>
      </c>
      <c r="F3323" s="16" t="s">
        <v>149</v>
      </c>
      <c r="G3323" s="8" t="s">
        <v>1561</v>
      </c>
      <c r="H3323" s="8" t="s">
        <v>1562</v>
      </c>
      <c r="I3323" s="16" t="s">
        <v>296</v>
      </c>
      <c r="J3323" s="16">
        <v>16.785692919932</v>
      </c>
      <c r="K3323" s="16">
        <v>-96.573106568943004</v>
      </c>
      <c r="L3323" s="16" t="str">
        <f>HYPERLINK("https://maps.google.com/?q=16.785692919932,-96.573106568943", "🔗 Ver Mapa")</f>
        <v>🔗 Ver Mapa</v>
      </c>
    </row>
    <row r="3324" spans="1:12" ht="43.5" x14ac:dyDescent="0.35">
      <c r="A3324" s="6" t="s">
        <v>4</v>
      </c>
      <c r="B3324" s="6" t="s">
        <v>17</v>
      </c>
      <c r="C3324" s="6" t="s">
        <v>1563</v>
      </c>
      <c r="D3324" s="11" t="s">
        <v>64</v>
      </c>
      <c r="E3324" s="17" t="s">
        <v>75</v>
      </c>
      <c r="F3324" s="17" t="s">
        <v>149</v>
      </c>
      <c r="G3324" s="11" t="s">
        <v>1561</v>
      </c>
      <c r="H3324" s="11" t="s">
        <v>1562</v>
      </c>
      <c r="I3324" s="17" t="s">
        <v>296</v>
      </c>
      <c r="J3324" s="17">
        <v>16.785701925213001</v>
      </c>
      <c r="K3324" s="17">
        <v>-96.562125571345007</v>
      </c>
      <c r="L3324" s="17" t="str">
        <f>HYPERLINK("https://maps.google.com/?q=16.785701925213,-96.562125571345", "🔗 Ver Mapa")</f>
        <v>🔗 Ver Mapa</v>
      </c>
    </row>
    <row r="3325" spans="1:12" ht="43.5" x14ac:dyDescent="0.35">
      <c r="A3325" s="5" t="s">
        <v>4</v>
      </c>
      <c r="B3325" s="5" t="s">
        <v>17</v>
      </c>
      <c r="C3325" s="5" t="s">
        <v>1563</v>
      </c>
      <c r="D3325" s="8" t="s">
        <v>64</v>
      </c>
      <c r="E3325" s="16" t="s">
        <v>75</v>
      </c>
      <c r="F3325" s="16" t="s">
        <v>149</v>
      </c>
      <c r="G3325" s="8" t="s">
        <v>1561</v>
      </c>
      <c r="H3325" s="8" t="s">
        <v>1562</v>
      </c>
      <c r="I3325" s="16" t="s">
        <v>296</v>
      </c>
      <c r="J3325" s="16">
        <v>16.785703921555999</v>
      </c>
      <c r="K3325" s="16">
        <v>-96.576872563253005</v>
      </c>
      <c r="L3325" s="16" t="str">
        <f>HYPERLINK("https://maps.google.com/?q=16.785703921556,-96.576872563253", "🔗 Ver Mapa")</f>
        <v>🔗 Ver Mapa</v>
      </c>
    </row>
    <row r="3326" spans="1:12" ht="43.5" x14ac:dyDescent="0.35">
      <c r="A3326" s="6" t="s">
        <v>4</v>
      </c>
      <c r="B3326" s="6" t="s">
        <v>17</v>
      </c>
      <c r="C3326" s="6" t="s">
        <v>1563</v>
      </c>
      <c r="D3326" s="11" t="s">
        <v>64</v>
      </c>
      <c r="E3326" s="17" t="s">
        <v>75</v>
      </c>
      <c r="F3326" s="17" t="s">
        <v>149</v>
      </c>
      <c r="G3326" s="11" t="s">
        <v>1561</v>
      </c>
      <c r="H3326" s="11" t="s">
        <v>1562</v>
      </c>
      <c r="I3326" s="17" t="s">
        <v>296</v>
      </c>
      <c r="J3326" s="17">
        <v>16.785728922038999</v>
      </c>
      <c r="K3326" s="17">
        <v>-96.564439564405006</v>
      </c>
      <c r="L3326" s="17" t="str">
        <f>HYPERLINK("https://maps.google.com/?q=16.785728922039,-96.564439564405", "🔗 Ver Mapa")</f>
        <v>🔗 Ver Mapa</v>
      </c>
    </row>
    <row r="3327" spans="1:12" ht="43.5" x14ac:dyDescent="0.35">
      <c r="A3327" s="5" t="s">
        <v>4</v>
      </c>
      <c r="B3327" s="5" t="s">
        <v>17</v>
      </c>
      <c r="C3327" s="5" t="s">
        <v>1563</v>
      </c>
      <c r="D3327" s="8" t="s">
        <v>64</v>
      </c>
      <c r="E3327" s="16" t="s">
        <v>75</v>
      </c>
      <c r="F3327" s="16" t="s">
        <v>149</v>
      </c>
      <c r="G3327" s="8" t="s">
        <v>1561</v>
      </c>
      <c r="H3327" s="8" t="s">
        <v>1562</v>
      </c>
      <c r="I3327" s="16" t="s">
        <v>296</v>
      </c>
      <c r="J3327" s="16">
        <v>16.785749919240999</v>
      </c>
      <c r="K3327" s="16">
        <v>-96.573100565435993</v>
      </c>
      <c r="L3327" s="16" t="str">
        <f>HYPERLINK("https://maps.google.com/?q=16.785749919241,-96.573100565436", "🔗 Ver Mapa")</f>
        <v>🔗 Ver Mapa</v>
      </c>
    </row>
    <row r="3328" spans="1:12" ht="43.5" x14ac:dyDescent="0.35">
      <c r="A3328" s="6" t="s">
        <v>4</v>
      </c>
      <c r="B3328" s="6" t="s">
        <v>17</v>
      </c>
      <c r="C3328" s="6" t="s">
        <v>1563</v>
      </c>
      <c r="D3328" s="11" t="s">
        <v>64</v>
      </c>
      <c r="E3328" s="17" t="s">
        <v>75</v>
      </c>
      <c r="F3328" s="17" t="s">
        <v>149</v>
      </c>
      <c r="G3328" s="11" t="s">
        <v>1561</v>
      </c>
      <c r="H3328" s="11" t="s">
        <v>1562</v>
      </c>
      <c r="I3328" s="17" t="s">
        <v>296</v>
      </c>
      <c r="J3328" s="17">
        <v>16.785749923937001</v>
      </c>
      <c r="K3328" s="17">
        <v>-96.564594569864994</v>
      </c>
      <c r="L3328" s="17" t="str">
        <f>HYPERLINK("https://maps.google.com/?q=16.785749923937,-96.564594569865", "🔗 Ver Mapa")</f>
        <v>🔗 Ver Mapa</v>
      </c>
    </row>
    <row r="3329" spans="1:12" ht="43.5" x14ac:dyDescent="0.35">
      <c r="A3329" s="5" t="s">
        <v>4</v>
      </c>
      <c r="B3329" s="5" t="s">
        <v>17</v>
      </c>
      <c r="C3329" s="5" t="s">
        <v>1563</v>
      </c>
      <c r="D3329" s="8" t="s">
        <v>64</v>
      </c>
      <c r="E3329" s="16" t="s">
        <v>75</v>
      </c>
      <c r="F3329" s="16" t="s">
        <v>149</v>
      </c>
      <c r="G3329" s="8" t="s">
        <v>1561</v>
      </c>
      <c r="H3329" s="8" t="s">
        <v>1562</v>
      </c>
      <c r="I3329" s="16" t="s">
        <v>296</v>
      </c>
      <c r="J3329" s="16">
        <v>16.785751924183</v>
      </c>
      <c r="K3329" s="16">
        <v>-96.571556567231994</v>
      </c>
      <c r="L3329" s="16" t="str">
        <f>HYPERLINK("https://maps.google.com/?q=16.785751924183,-96.571556567232", "🔗 Ver Mapa")</f>
        <v>🔗 Ver Mapa</v>
      </c>
    </row>
    <row r="3330" spans="1:12" ht="43.5" x14ac:dyDescent="0.35">
      <c r="A3330" s="6" t="s">
        <v>4</v>
      </c>
      <c r="B3330" s="6" t="s">
        <v>17</v>
      </c>
      <c r="C3330" s="6" t="s">
        <v>1563</v>
      </c>
      <c r="D3330" s="11" t="s">
        <v>64</v>
      </c>
      <c r="E3330" s="17" t="s">
        <v>75</v>
      </c>
      <c r="F3330" s="17" t="s">
        <v>149</v>
      </c>
      <c r="G3330" s="11" t="s">
        <v>1561</v>
      </c>
      <c r="H3330" s="11" t="s">
        <v>1562</v>
      </c>
      <c r="I3330" s="17" t="s">
        <v>296</v>
      </c>
      <c r="J3330" s="17">
        <v>16.78575691975</v>
      </c>
      <c r="K3330" s="17">
        <v>-96.573844562084005</v>
      </c>
      <c r="L3330" s="17" t="str">
        <f>HYPERLINK("https://maps.google.com/?q=16.78575691975,-96.573844562084", "🔗 Ver Mapa")</f>
        <v>🔗 Ver Mapa</v>
      </c>
    </row>
    <row r="3331" spans="1:12" ht="43.5" x14ac:dyDescent="0.35">
      <c r="A3331" s="5" t="s">
        <v>4</v>
      </c>
      <c r="B3331" s="5" t="s">
        <v>17</v>
      </c>
      <c r="C3331" s="5" t="s">
        <v>1563</v>
      </c>
      <c r="D3331" s="8" t="s">
        <v>64</v>
      </c>
      <c r="E3331" s="16" t="s">
        <v>75</v>
      </c>
      <c r="F3331" s="16" t="s">
        <v>149</v>
      </c>
      <c r="G3331" s="8" t="s">
        <v>1561</v>
      </c>
      <c r="H3331" s="8" t="s">
        <v>1562</v>
      </c>
      <c r="I3331" s="16" t="s">
        <v>296</v>
      </c>
      <c r="J3331" s="16">
        <v>16.785764918634001</v>
      </c>
      <c r="K3331" s="16">
        <v>-96.571277567178001</v>
      </c>
      <c r="L3331" s="16" t="str">
        <f>HYPERLINK("https://maps.google.com/?q=16.785764918634,-96.571277567178", "🔗 Ver Mapa")</f>
        <v>🔗 Ver Mapa</v>
      </c>
    </row>
    <row r="3332" spans="1:12" ht="43.5" x14ac:dyDescent="0.35">
      <c r="A3332" s="6" t="s">
        <v>4</v>
      </c>
      <c r="B3332" s="6" t="s">
        <v>17</v>
      </c>
      <c r="C3332" s="6" t="s">
        <v>1563</v>
      </c>
      <c r="D3332" s="11" t="s">
        <v>64</v>
      </c>
      <c r="E3332" s="17" t="s">
        <v>75</v>
      </c>
      <c r="F3332" s="17" t="s">
        <v>149</v>
      </c>
      <c r="G3332" s="11" t="s">
        <v>1561</v>
      </c>
      <c r="H3332" s="11" t="s">
        <v>1562</v>
      </c>
      <c r="I3332" s="17" t="s">
        <v>296</v>
      </c>
      <c r="J3332" s="17">
        <v>16.785766921392</v>
      </c>
      <c r="K3332" s="17">
        <v>-96.564577568351993</v>
      </c>
      <c r="L3332" s="17" t="str">
        <f>HYPERLINK("https://maps.google.com/?q=16.785766921392,-96.564577568352", "🔗 Ver Mapa")</f>
        <v>🔗 Ver Mapa</v>
      </c>
    </row>
    <row r="3333" spans="1:12" ht="43.5" x14ac:dyDescent="0.35">
      <c r="A3333" s="5" t="s">
        <v>4</v>
      </c>
      <c r="B3333" s="5" t="s">
        <v>17</v>
      </c>
      <c r="C3333" s="5" t="s">
        <v>1563</v>
      </c>
      <c r="D3333" s="8" t="s">
        <v>64</v>
      </c>
      <c r="E3333" s="16" t="s">
        <v>75</v>
      </c>
      <c r="F3333" s="16" t="s">
        <v>149</v>
      </c>
      <c r="G3333" s="8" t="s">
        <v>1561</v>
      </c>
      <c r="H3333" s="8" t="s">
        <v>1562</v>
      </c>
      <c r="I3333" s="16" t="s">
        <v>296</v>
      </c>
      <c r="J3333" s="16">
        <v>16.785768924048</v>
      </c>
      <c r="K3333" s="16">
        <v>-96.570290567314004</v>
      </c>
      <c r="L3333" s="16" t="str">
        <f>HYPERLINK("https://maps.google.com/?q=16.785768924048,-96.570290567314", "🔗 Ver Mapa")</f>
        <v>🔗 Ver Mapa</v>
      </c>
    </row>
    <row r="3334" spans="1:12" ht="43.5" x14ac:dyDescent="0.35">
      <c r="A3334" s="6" t="s">
        <v>4</v>
      </c>
      <c r="B3334" s="6" t="s">
        <v>17</v>
      </c>
      <c r="C3334" s="6" t="s">
        <v>1563</v>
      </c>
      <c r="D3334" s="11" t="s">
        <v>64</v>
      </c>
      <c r="E3334" s="17" t="s">
        <v>75</v>
      </c>
      <c r="F3334" s="17" t="s">
        <v>149</v>
      </c>
      <c r="G3334" s="11" t="s">
        <v>1561</v>
      </c>
      <c r="H3334" s="11" t="s">
        <v>1562</v>
      </c>
      <c r="I3334" s="17" t="s">
        <v>296</v>
      </c>
      <c r="J3334" s="17">
        <v>16.785781920763998</v>
      </c>
      <c r="K3334" s="17">
        <v>-96.564469570038</v>
      </c>
      <c r="L3334" s="17" t="str">
        <f>HYPERLINK("https://maps.google.com/?q=16.785781920764,-96.564469570038", "🔗 Ver Mapa")</f>
        <v>🔗 Ver Mapa</v>
      </c>
    </row>
    <row r="3335" spans="1:12" ht="43.5" x14ac:dyDescent="0.35">
      <c r="A3335" s="5" t="s">
        <v>4</v>
      </c>
      <c r="B3335" s="5" t="s">
        <v>17</v>
      </c>
      <c r="C3335" s="5" t="s">
        <v>1563</v>
      </c>
      <c r="D3335" s="8" t="s">
        <v>64</v>
      </c>
      <c r="E3335" s="16" t="s">
        <v>75</v>
      </c>
      <c r="F3335" s="16" t="s">
        <v>149</v>
      </c>
      <c r="G3335" s="8" t="s">
        <v>1561</v>
      </c>
      <c r="H3335" s="8" t="s">
        <v>1562</v>
      </c>
      <c r="I3335" s="16" t="s">
        <v>296</v>
      </c>
      <c r="J3335" s="16">
        <v>16.785781927447999</v>
      </c>
      <c r="K3335" s="16">
        <v>-96.564523571939006</v>
      </c>
      <c r="L3335" s="16" t="str">
        <f>HYPERLINK("https://maps.google.com/?q=16.785781927448,-96.564523571939", "🔗 Ver Mapa")</f>
        <v>🔗 Ver Mapa</v>
      </c>
    </row>
    <row r="3336" spans="1:12" ht="43.5" x14ac:dyDescent="0.35">
      <c r="A3336" s="6" t="s">
        <v>4</v>
      </c>
      <c r="B3336" s="6" t="s">
        <v>17</v>
      </c>
      <c r="C3336" s="6" t="s">
        <v>1563</v>
      </c>
      <c r="D3336" s="11" t="s">
        <v>64</v>
      </c>
      <c r="E3336" s="17" t="s">
        <v>75</v>
      </c>
      <c r="F3336" s="17" t="s">
        <v>149</v>
      </c>
      <c r="G3336" s="11" t="s">
        <v>1561</v>
      </c>
      <c r="H3336" s="11" t="s">
        <v>1562</v>
      </c>
      <c r="I3336" s="17" t="s">
        <v>296</v>
      </c>
      <c r="J3336" s="17">
        <v>16.785788917550001</v>
      </c>
      <c r="K3336" s="17">
        <v>-96.573832565630994</v>
      </c>
      <c r="L3336" s="17" t="str">
        <f>HYPERLINK("https://maps.google.com/?q=16.78578891755,-96.573832565631", "🔗 Ver Mapa")</f>
        <v>🔗 Ver Mapa</v>
      </c>
    </row>
    <row r="3337" spans="1:12" ht="43.5" x14ac:dyDescent="0.35">
      <c r="A3337" s="5" t="s">
        <v>4</v>
      </c>
      <c r="B3337" s="5" t="s">
        <v>17</v>
      </c>
      <c r="C3337" s="5" t="s">
        <v>1563</v>
      </c>
      <c r="D3337" s="8" t="s">
        <v>64</v>
      </c>
      <c r="E3337" s="16" t="s">
        <v>75</v>
      </c>
      <c r="F3337" s="16" t="s">
        <v>149</v>
      </c>
      <c r="G3337" s="8" t="s">
        <v>1561</v>
      </c>
      <c r="H3337" s="8" t="s">
        <v>1562</v>
      </c>
      <c r="I3337" s="16" t="s">
        <v>296</v>
      </c>
      <c r="J3337" s="16">
        <v>16.785801920685</v>
      </c>
      <c r="K3337" s="16">
        <v>-96.571128564782995</v>
      </c>
      <c r="L3337" s="16" t="str">
        <f>HYPERLINK("https://maps.google.com/?q=16.785801920685,-96.571128564783", "🔗 Ver Mapa")</f>
        <v>🔗 Ver Mapa</v>
      </c>
    </row>
    <row r="3338" spans="1:12" ht="43.5" x14ac:dyDescent="0.35">
      <c r="A3338" s="6" t="s">
        <v>4</v>
      </c>
      <c r="B3338" s="6" t="s">
        <v>17</v>
      </c>
      <c r="C3338" s="6" t="s">
        <v>1563</v>
      </c>
      <c r="D3338" s="11" t="s">
        <v>64</v>
      </c>
      <c r="E3338" s="17" t="s">
        <v>75</v>
      </c>
      <c r="F3338" s="17" t="s">
        <v>149</v>
      </c>
      <c r="G3338" s="11" t="s">
        <v>1561</v>
      </c>
      <c r="H3338" s="11" t="s">
        <v>1562</v>
      </c>
      <c r="I3338" s="17" t="s">
        <v>296</v>
      </c>
      <c r="J3338" s="17">
        <v>16.785802925096998</v>
      </c>
      <c r="K3338" s="17">
        <v>-96.564754568520001</v>
      </c>
      <c r="L3338" s="17" t="str">
        <f>HYPERLINK("https://maps.google.com/?q=16.785802925097,-96.56475456852", "🔗 Ver Mapa")</f>
        <v>🔗 Ver Mapa</v>
      </c>
    </row>
    <row r="3339" spans="1:12" ht="43.5" x14ac:dyDescent="0.35">
      <c r="A3339" s="5" t="s">
        <v>4</v>
      </c>
      <c r="B3339" s="5" t="s">
        <v>17</v>
      </c>
      <c r="C3339" s="5" t="s">
        <v>1563</v>
      </c>
      <c r="D3339" s="8" t="s">
        <v>64</v>
      </c>
      <c r="E3339" s="16" t="s">
        <v>75</v>
      </c>
      <c r="F3339" s="16" t="s">
        <v>149</v>
      </c>
      <c r="G3339" s="8" t="s">
        <v>1561</v>
      </c>
      <c r="H3339" s="8" t="s">
        <v>1562</v>
      </c>
      <c r="I3339" s="16" t="s">
        <v>296</v>
      </c>
      <c r="J3339" s="16">
        <v>16.785803921288</v>
      </c>
      <c r="K3339" s="16">
        <v>-96.564671569588</v>
      </c>
      <c r="L3339" s="16" t="str">
        <f>HYPERLINK("https://maps.google.com/?q=16.785803921288,-96.564671569588", "🔗 Ver Mapa")</f>
        <v>🔗 Ver Mapa</v>
      </c>
    </row>
    <row r="3340" spans="1:12" ht="43.5" x14ac:dyDescent="0.35">
      <c r="A3340" s="6" t="s">
        <v>4</v>
      </c>
      <c r="B3340" s="6" t="s">
        <v>17</v>
      </c>
      <c r="C3340" s="6" t="s">
        <v>1563</v>
      </c>
      <c r="D3340" s="11" t="s">
        <v>64</v>
      </c>
      <c r="E3340" s="17" t="s">
        <v>75</v>
      </c>
      <c r="F3340" s="17" t="s">
        <v>149</v>
      </c>
      <c r="G3340" s="11" t="s">
        <v>1561</v>
      </c>
      <c r="H3340" s="11" t="s">
        <v>1562</v>
      </c>
      <c r="I3340" s="17" t="s">
        <v>296</v>
      </c>
      <c r="J3340" s="17">
        <v>16.785805922752001</v>
      </c>
      <c r="K3340" s="17">
        <v>-96.571471562556994</v>
      </c>
      <c r="L3340" s="17" t="str">
        <f>HYPERLINK("https://maps.google.com/?q=16.785805922752,-96.571471562557", "🔗 Ver Mapa")</f>
        <v>🔗 Ver Mapa</v>
      </c>
    </row>
    <row r="3341" spans="1:12" ht="43.5" x14ac:dyDescent="0.35">
      <c r="A3341" s="5" t="s">
        <v>4</v>
      </c>
      <c r="B3341" s="5" t="s">
        <v>17</v>
      </c>
      <c r="C3341" s="5" t="s">
        <v>1563</v>
      </c>
      <c r="D3341" s="8" t="s">
        <v>64</v>
      </c>
      <c r="E3341" s="16" t="s">
        <v>75</v>
      </c>
      <c r="F3341" s="16" t="s">
        <v>149</v>
      </c>
      <c r="G3341" s="8" t="s">
        <v>1561</v>
      </c>
      <c r="H3341" s="8" t="s">
        <v>1562</v>
      </c>
      <c r="I3341" s="16" t="s">
        <v>296</v>
      </c>
      <c r="J3341" s="16">
        <v>16.785805926323999</v>
      </c>
      <c r="K3341" s="16">
        <v>-96.562021566187994</v>
      </c>
      <c r="L3341" s="16" t="str">
        <f>HYPERLINK("https://maps.google.com/?q=16.785805926324,-96.562021566188", "🔗 Ver Mapa")</f>
        <v>🔗 Ver Mapa</v>
      </c>
    </row>
    <row r="3342" spans="1:12" ht="43.5" x14ac:dyDescent="0.35">
      <c r="A3342" s="6" t="s">
        <v>4</v>
      </c>
      <c r="B3342" s="6" t="s">
        <v>17</v>
      </c>
      <c r="C3342" s="6" t="s">
        <v>1563</v>
      </c>
      <c r="D3342" s="11" t="s">
        <v>64</v>
      </c>
      <c r="E3342" s="17" t="s">
        <v>75</v>
      </c>
      <c r="F3342" s="17" t="s">
        <v>149</v>
      </c>
      <c r="G3342" s="11" t="s">
        <v>1561</v>
      </c>
      <c r="H3342" s="11" t="s">
        <v>1562</v>
      </c>
      <c r="I3342" s="17" t="s">
        <v>296</v>
      </c>
      <c r="J3342" s="17">
        <v>16.785812926005999</v>
      </c>
      <c r="K3342" s="17">
        <v>-96.564690565049005</v>
      </c>
      <c r="L3342" s="17" t="str">
        <f>HYPERLINK("https://maps.google.com/?q=16.785812926006,-96.564690565049", "🔗 Ver Mapa")</f>
        <v>🔗 Ver Mapa</v>
      </c>
    </row>
    <row r="3343" spans="1:12" ht="43.5" x14ac:dyDescent="0.35">
      <c r="A3343" s="5" t="s">
        <v>4</v>
      </c>
      <c r="B3343" s="5" t="s">
        <v>17</v>
      </c>
      <c r="C3343" s="5" t="s">
        <v>1563</v>
      </c>
      <c r="D3343" s="8" t="s">
        <v>64</v>
      </c>
      <c r="E3343" s="16" t="s">
        <v>75</v>
      </c>
      <c r="F3343" s="16" t="s">
        <v>149</v>
      </c>
      <c r="G3343" s="8" t="s">
        <v>1561</v>
      </c>
      <c r="H3343" s="8" t="s">
        <v>1562</v>
      </c>
      <c r="I3343" s="16" t="s">
        <v>296</v>
      </c>
      <c r="J3343" s="16">
        <v>16.785813921795</v>
      </c>
      <c r="K3343" s="16">
        <v>-96.576950563192</v>
      </c>
      <c r="L3343" s="16" t="str">
        <f>HYPERLINK("https://maps.google.com/?q=16.785813921795,-96.576950563192", "🔗 Ver Mapa")</f>
        <v>🔗 Ver Mapa</v>
      </c>
    </row>
    <row r="3344" spans="1:12" ht="43.5" x14ac:dyDescent="0.35">
      <c r="A3344" s="6" t="s">
        <v>4</v>
      </c>
      <c r="B3344" s="6" t="s">
        <v>17</v>
      </c>
      <c r="C3344" s="6" t="s">
        <v>1563</v>
      </c>
      <c r="D3344" s="11" t="s">
        <v>64</v>
      </c>
      <c r="E3344" s="17" t="s">
        <v>75</v>
      </c>
      <c r="F3344" s="17" t="s">
        <v>149</v>
      </c>
      <c r="G3344" s="11" t="s">
        <v>1561</v>
      </c>
      <c r="H3344" s="11" t="s">
        <v>1562</v>
      </c>
      <c r="I3344" s="17" t="s">
        <v>296</v>
      </c>
      <c r="J3344" s="17">
        <v>16.785817919825998</v>
      </c>
      <c r="K3344" s="17">
        <v>-96.573133561839001</v>
      </c>
      <c r="L3344" s="17" t="str">
        <f>HYPERLINK("https://maps.google.com/?q=16.785817919826,-96.573133561839", "🔗 Ver Mapa")</f>
        <v>🔗 Ver Mapa</v>
      </c>
    </row>
    <row r="3345" spans="1:12" ht="43.5" x14ac:dyDescent="0.35">
      <c r="A3345" s="5" t="s">
        <v>4</v>
      </c>
      <c r="B3345" s="5" t="s">
        <v>17</v>
      </c>
      <c r="C3345" s="5" t="s">
        <v>1563</v>
      </c>
      <c r="D3345" s="8" t="s">
        <v>64</v>
      </c>
      <c r="E3345" s="16" t="s">
        <v>75</v>
      </c>
      <c r="F3345" s="16" t="s">
        <v>149</v>
      </c>
      <c r="G3345" s="8" t="s">
        <v>1561</v>
      </c>
      <c r="H3345" s="8" t="s">
        <v>1562</v>
      </c>
      <c r="I3345" s="16" t="s">
        <v>296</v>
      </c>
      <c r="J3345" s="16">
        <v>16.785817926896001</v>
      </c>
      <c r="K3345" s="16">
        <v>-96.564734563696007</v>
      </c>
      <c r="L3345" s="16" t="str">
        <f>HYPERLINK("https://maps.google.com/?q=16.785817926896,-96.564734563696", "🔗 Ver Mapa")</f>
        <v>🔗 Ver Mapa</v>
      </c>
    </row>
    <row r="3346" spans="1:12" ht="43.5" x14ac:dyDescent="0.35">
      <c r="A3346" s="6" t="s">
        <v>4</v>
      </c>
      <c r="B3346" s="6" t="s">
        <v>17</v>
      </c>
      <c r="C3346" s="6" t="s">
        <v>1563</v>
      </c>
      <c r="D3346" s="11" t="s">
        <v>64</v>
      </c>
      <c r="E3346" s="17" t="s">
        <v>75</v>
      </c>
      <c r="F3346" s="17" t="s">
        <v>149</v>
      </c>
      <c r="G3346" s="11" t="s">
        <v>1561</v>
      </c>
      <c r="H3346" s="11" t="s">
        <v>1562</v>
      </c>
      <c r="I3346" s="17" t="s">
        <v>296</v>
      </c>
      <c r="J3346" s="17">
        <v>16.785822921381001</v>
      </c>
      <c r="K3346" s="17">
        <v>-96.576951564891004</v>
      </c>
      <c r="L3346" s="17" t="str">
        <f>HYPERLINK("https://maps.google.com/?q=16.785822921381,-96.576951564891", "🔗 Ver Mapa")</f>
        <v>🔗 Ver Mapa</v>
      </c>
    </row>
    <row r="3347" spans="1:12" ht="43.5" x14ac:dyDescent="0.35">
      <c r="A3347" s="5" t="s">
        <v>4</v>
      </c>
      <c r="B3347" s="5" t="s">
        <v>17</v>
      </c>
      <c r="C3347" s="5" t="s">
        <v>1563</v>
      </c>
      <c r="D3347" s="8" t="s">
        <v>64</v>
      </c>
      <c r="E3347" s="16" t="s">
        <v>75</v>
      </c>
      <c r="F3347" s="16" t="s">
        <v>149</v>
      </c>
      <c r="G3347" s="8" t="s">
        <v>1561</v>
      </c>
      <c r="H3347" s="8" t="s">
        <v>1562</v>
      </c>
      <c r="I3347" s="16" t="s">
        <v>296</v>
      </c>
      <c r="J3347" s="16">
        <v>16.785824927229001</v>
      </c>
      <c r="K3347" s="16">
        <v>-96.564721571720995</v>
      </c>
      <c r="L3347" s="16" t="str">
        <f>HYPERLINK("https://maps.google.com/?q=16.785824927229,-96.564721571721", "🔗 Ver Mapa")</f>
        <v>🔗 Ver Mapa</v>
      </c>
    </row>
    <row r="3348" spans="1:12" ht="43.5" x14ac:dyDescent="0.35">
      <c r="A3348" s="6" t="s">
        <v>4</v>
      </c>
      <c r="B3348" s="6" t="s">
        <v>17</v>
      </c>
      <c r="C3348" s="6" t="s">
        <v>1563</v>
      </c>
      <c r="D3348" s="11" t="s">
        <v>64</v>
      </c>
      <c r="E3348" s="17" t="s">
        <v>75</v>
      </c>
      <c r="F3348" s="17" t="s">
        <v>149</v>
      </c>
      <c r="G3348" s="11" t="s">
        <v>1561</v>
      </c>
      <c r="H3348" s="11" t="s">
        <v>1562</v>
      </c>
      <c r="I3348" s="17" t="s">
        <v>296</v>
      </c>
      <c r="J3348" s="17">
        <v>16.785825917865999</v>
      </c>
      <c r="K3348" s="17">
        <v>-96.573177560366005</v>
      </c>
      <c r="L3348" s="17" t="str">
        <f>HYPERLINK("https://maps.google.com/?q=16.785825917866,-96.573177560366", "🔗 Ver Mapa")</f>
        <v>🔗 Ver Mapa</v>
      </c>
    </row>
    <row r="3349" spans="1:12" ht="43.5" x14ac:dyDescent="0.35">
      <c r="A3349" s="5" t="s">
        <v>4</v>
      </c>
      <c r="B3349" s="5" t="s">
        <v>17</v>
      </c>
      <c r="C3349" s="5" t="s">
        <v>1563</v>
      </c>
      <c r="D3349" s="8" t="s">
        <v>64</v>
      </c>
      <c r="E3349" s="16" t="s">
        <v>75</v>
      </c>
      <c r="F3349" s="16" t="s">
        <v>149</v>
      </c>
      <c r="G3349" s="8" t="s">
        <v>1561</v>
      </c>
      <c r="H3349" s="8" t="s">
        <v>1562</v>
      </c>
      <c r="I3349" s="16" t="s">
        <v>296</v>
      </c>
      <c r="J3349" s="16">
        <v>16.785838924838998</v>
      </c>
      <c r="K3349" s="16">
        <v>-96.570396565367005</v>
      </c>
      <c r="L3349" s="16" t="str">
        <f>HYPERLINK("https://maps.google.com/?q=16.785838924839,-96.570396565367", "🔗 Ver Mapa")</f>
        <v>🔗 Ver Mapa</v>
      </c>
    </row>
    <row r="3350" spans="1:12" ht="43.5" x14ac:dyDescent="0.35">
      <c r="A3350" s="6" t="s">
        <v>4</v>
      </c>
      <c r="B3350" s="6" t="s">
        <v>17</v>
      </c>
      <c r="C3350" s="6" t="s">
        <v>1563</v>
      </c>
      <c r="D3350" s="11" t="s">
        <v>64</v>
      </c>
      <c r="E3350" s="17" t="s">
        <v>75</v>
      </c>
      <c r="F3350" s="17" t="s">
        <v>149</v>
      </c>
      <c r="G3350" s="11" t="s">
        <v>1561</v>
      </c>
      <c r="H3350" s="11" t="s">
        <v>1562</v>
      </c>
      <c r="I3350" s="17" t="s">
        <v>296</v>
      </c>
      <c r="J3350" s="17">
        <v>16.785841917647002</v>
      </c>
      <c r="K3350" s="17">
        <v>-96.573817564297002</v>
      </c>
      <c r="L3350" s="17" t="str">
        <f>HYPERLINK("https://maps.google.com/?q=16.785841917647,-96.573817564297", "🔗 Ver Mapa")</f>
        <v>🔗 Ver Mapa</v>
      </c>
    </row>
    <row r="3351" spans="1:12" ht="43.5" x14ac:dyDescent="0.35">
      <c r="A3351" s="5" t="s">
        <v>4</v>
      </c>
      <c r="B3351" s="5" t="s">
        <v>17</v>
      </c>
      <c r="C3351" s="5" t="s">
        <v>1563</v>
      </c>
      <c r="D3351" s="8" t="s">
        <v>64</v>
      </c>
      <c r="E3351" s="16" t="s">
        <v>75</v>
      </c>
      <c r="F3351" s="16" t="s">
        <v>149</v>
      </c>
      <c r="G3351" s="8" t="s">
        <v>1561</v>
      </c>
      <c r="H3351" s="8" t="s">
        <v>1562</v>
      </c>
      <c r="I3351" s="16" t="s">
        <v>296</v>
      </c>
      <c r="J3351" s="16">
        <v>16.785866917903999</v>
      </c>
      <c r="K3351" s="16">
        <v>-96.573793560349003</v>
      </c>
      <c r="L3351" s="16" t="str">
        <f>HYPERLINK("https://maps.google.com/?q=16.785866917904,-96.573793560349", "🔗 Ver Mapa")</f>
        <v>🔗 Ver Mapa</v>
      </c>
    </row>
    <row r="3352" spans="1:12" ht="43.5" x14ac:dyDescent="0.35">
      <c r="A3352" s="6" t="s">
        <v>4</v>
      </c>
      <c r="B3352" s="6" t="s">
        <v>17</v>
      </c>
      <c r="C3352" s="6" t="s">
        <v>1563</v>
      </c>
      <c r="D3352" s="11" t="s">
        <v>64</v>
      </c>
      <c r="E3352" s="17" t="s">
        <v>75</v>
      </c>
      <c r="F3352" s="17" t="s">
        <v>149</v>
      </c>
      <c r="G3352" s="11" t="s">
        <v>1561</v>
      </c>
      <c r="H3352" s="11" t="s">
        <v>1562</v>
      </c>
      <c r="I3352" s="17" t="s">
        <v>296</v>
      </c>
      <c r="J3352" s="17">
        <v>16.785866919503999</v>
      </c>
      <c r="K3352" s="17">
        <v>-96.573528565450005</v>
      </c>
      <c r="L3352" s="17" t="str">
        <f>HYPERLINK("https://maps.google.com/?q=16.785866919504,-96.57352856545", "🔗 Ver Mapa")</f>
        <v>🔗 Ver Mapa</v>
      </c>
    </row>
    <row r="3353" spans="1:12" ht="43.5" x14ac:dyDescent="0.35">
      <c r="A3353" s="5" t="s">
        <v>4</v>
      </c>
      <c r="B3353" s="5" t="s">
        <v>17</v>
      </c>
      <c r="C3353" s="5" t="s">
        <v>1563</v>
      </c>
      <c r="D3353" s="8" t="s">
        <v>64</v>
      </c>
      <c r="E3353" s="16" t="s">
        <v>75</v>
      </c>
      <c r="F3353" s="16" t="s">
        <v>149</v>
      </c>
      <c r="G3353" s="8" t="s">
        <v>1561</v>
      </c>
      <c r="H3353" s="8" t="s">
        <v>1562</v>
      </c>
      <c r="I3353" s="16" t="s">
        <v>296</v>
      </c>
      <c r="J3353" s="16">
        <v>16.785869922153001</v>
      </c>
      <c r="K3353" s="16">
        <v>-96.573490569087994</v>
      </c>
      <c r="L3353" s="16" t="str">
        <f>HYPERLINK("https://maps.google.com/?q=16.785869922153,-96.573490569088", "🔗 Ver Mapa")</f>
        <v>🔗 Ver Mapa</v>
      </c>
    </row>
    <row r="3354" spans="1:12" ht="43.5" x14ac:dyDescent="0.35">
      <c r="A3354" s="6" t="s">
        <v>4</v>
      </c>
      <c r="B3354" s="6" t="s">
        <v>17</v>
      </c>
      <c r="C3354" s="6" t="s">
        <v>1563</v>
      </c>
      <c r="D3354" s="11" t="s">
        <v>64</v>
      </c>
      <c r="E3354" s="17" t="s">
        <v>75</v>
      </c>
      <c r="F3354" s="17" t="s">
        <v>149</v>
      </c>
      <c r="G3354" s="11" t="s">
        <v>1561</v>
      </c>
      <c r="H3354" s="11" t="s">
        <v>1562</v>
      </c>
      <c r="I3354" s="17" t="s">
        <v>296</v>
      </c>
      <c r="J3354" s="17">
        <v>16.785876917387998</v>
      </c>
      <c r="K3354" s="17">
        <v>-96.573593561910997</v>
      </c>
      <c r="L3354" s="17" t="str">
        <f>HYPERLINK("https://maps.google.com/?q=16.785876917388,-96.573593561911", "🔗 Ver Mapa")</f>
        <v>🔗 Ver Mapa</v>
      </c>
    </row>
    <row r="3355" spans="1:12" ht="43.5" x14ac:dyDescent="0.35">
      <c r="A3355" s="5" t="s">
        <v>4</v>
      </c>
      <c r="B3355" s="5" t="s">
        <v>17</v>
      </c>
      <c r="C3355" s="5" t="s">
        <v>1563</v>
      </c>
      <c r="D3355" s="8" t="s">
        <v>64</v>
      </c>
      <c r="E3355" s="16" t="s">
        <v>75</v>
      </c>
      <c r="F3355" s="16" t="s">
        <v>149</v>
      </c>
      <c r="G3355" s="8" t="s">
        <v>1561</v>
      </c>
      <c r="H3355" s="8" t="s">
        <v>1562</v>
      </c>
      <c r="I3355" s="16" t="s">
        <v>296</v>
      </c>
      <c r="J3355" s="16">
        <v>16.785893922124998</v>
      </c>
      <c r="K3355" s="16">
        <v>-96.573798562231005</v>
      </c>
      <c r="L3355" s="16" t="str">
        <f>HYPERLINK("https://maps.google.com/?q=16.785893922125,-96.573798562231", "🔗 Ver Mapa")</f>
        <v>🔗 Ver Mapa</v>
      </c>
    </row>
    <row r="3356" spans="1:12" ht="43.5" x14ac:dyDescent="0.35">
      <c r="A3356" s="6" t="s">
        <v>4</v>
      </c>
      <c r="B3356" s="6" t="s">
        <v>17</v>
      </c>
      <c r="C3356" s="6" t="s">
        <v>1563</v>
      </c>
      <c r="D3356" s="11" t="s">
        <v>64</v>
      </c>
      <c r="E3356" s="17" t="s">
        <v>75</v>
      </c>
      <c r="F3356" s="17" t="s">
        <v>149</v>
      </c>
      <c r="G3356" s="11" t="s">
        <v>1561</v>
      </c>
      <c r="H3356" s="11" t="s">
        <v>1562</v>
      </c>
      <c r="I3356" s="17" t="s">
        <v>296</v>
      </c>
      <c r="J3356" s="17">
        <v>16.785895919996001</v>
      </c>
      <c r="K3356" s="17">
        <v>-96.573415569508995</v>
      </c>
      <c r="L3356" s="17" t="str">
        <f>HYPERLINK("https://maps.google.com/?q=16.785895919996,-96.573415569509", "🔗 Ver Mapa")</f>
        <v>🔗 Ver Mapa</v>
      </c>
    </row>
    <row r="3357" spans="1:12" ht="43.5" x14ac:dyDescent="0.35">
      <c r="A3357" s="5" t="s">
        <v>4</v>
      </c>
      <c r="B3357" s="5" t="s">
        <v>17</v>
      </c>
      <c r="C3357" s="5" t="s">
        <v>1563</v>
      </c>
      <c r="D3357" s="8" t="s">
        <v>64</v>
      </c>
      <c r="E3357" s="16" t="s">
        <v>75</v>
      </c>
      <c r="F3357" s="16" t="s">
        <v>149</v>
      </c>
      <c r="G3357" s="8" t="s">
        <v>1561</v>
      </c>
      <c r="H3357" s="8" t="s">
        <v>1562</v>
      </c>
      <c r="I3357" s="16" t="s">
        <v>296</v>
      </c>
      <c r="J3357" s="16">
        <v>16.785897918572999</v>
      </c>
      <c r="K3357" s="16">
        <v>-96.577019562922999</v>
      </c>
      <c r="L3357" s="16" t="str">
        <f>HYPERLINK("https://maps.google.com/?q=16.785897918573,-96.577019562923", "🔗 Ver Mapa")</f>
        <v>🔗 Ver Mapa</v>
      </c>
    </row>
    <row r="3358" spans="1:12" ht="43.5" x14ac:dyDescent="0.35">
      <c r="A3358" s="6" t="s">
        <v>4</v>
      </c>
      <c r="B3358" s="6" t="s">
        <v>17</v>
      </c>
      <c r="C3358" s="6" t="s">
        <v>1563</v>
      </c>
      <c r="D3358" s="11" t="s">
        <v>64</v>
      </c>
      <c r="E3358" s="17" t="s">
        <v>75</v>
      </c>
      <c r="F3358" s="17" t="s">
        <v>149</v>
      </c>
      <c r="G3358" s="11" t="s">
        <v>1561</v>
      </c>
      <c r="H3358" s="11" t="s">
        <v>1562</v>
      </c>
      <c r="I3358" s="17" t="s">
        <v>296</v>
      </c>
      <c r="J3358" s="17">
        <v>16.785897926278999</v>
      </c>
      <c r="K3358" s="17">
        <v>-96.570578563452997</v>
      </c>
      <c r="L3358" s="17" t="str">
        <f>HYPERLINK("https://maps.google.com/?q=16.785897926279,-96.570578563453", "🔗 Ver Mapa")</f>
        <v>🔗 Ver Mapa</v>
      </c>
    </row>
    <row r="3359" spans="1:12" ht="43.5" x14ac:dyDescent="0.35">
      <c r="A3359" s="5" t="s">
        <v>4</v>
      </c>
      <c r="B3359" s="5" t="s">
        <v>17</v>
      </c>
      <c r="C3359" s="5" t="s">
        <v>1563</v>
      </c>
      <c r="D3359" s="8" t="s">
        <v>64</v>
      </c>
      <c r="E3359" s="16" t="s">
        <v>75</v>
      </c>
      <c r="F3359" s="16" t="s">
        <v>149</v>
      </c>
      <c r="G3359" s="8" t="s">
        <v>1561</v>
      </c>
      <c r="H3359" s="8" t="s">
        <v>1562</v>
      </c>
      <c r="I3359" s="16" t="s">
        <v>296</v>
      </c>
      <c r="J3359" s="16">
        <v>16.785902918049</v>
      </c>
      <c r="K3359" s="16">
        <v>-96.573637566212</v>
      </c>
      <c r="L3359" s="16" t="str">
        <f>HYPERLINK("https://maps.google.com/?q=16.785902918049,-96.573637566212", "🔗 Ver Mapa")</f>
        <v>🔗 Ver Mapa</v>
      </c>
    </row>
    <row r="3360" spans="1:12" ht="43.5" x14ac:dyDescent="0.35">
      <c r="A3360" s="6" t="s">
        <v>4</v>
      </c>
      <c r="B3360" s="6" t="s">
        <v>17</v>
      </c>
      <c r="C3360" s="6" t="s">
        <v>1563</v>
      </c>
      <c r="D3360" s="11" t="s">
        <v>64</v>
      </c>
      <c r="E3360" s="17" t="s">
        <v>75</v>
      </c>
      <c r="F3360" s="17" t="s">
        <v>149</v>
      </c>
      <c r="G3360" s="11" t="s">
        <v>1561</v>
      </c>
      <c r="H3360" s="11" t="s">
        <v>1562</v>
      </c>
      <c r="I3360" s="17" t="s">
        <v>296</v>
      </c>
      <c r="J3360" s="17">
        <v>16.785902922274001</v>
      </c>
      <c r="K3360" s="17">
        <v>-96.570487561625001</v>
      </c>
      <c r="L3360" s="17" t="str">
        <f>HYPERLINK("https://maps.google.com/?q=16.785902922274,-96.570487561625", "🔗 Ver Mapa")</f>
        <v>🔗 Ver Mapa</v>
      </c>
    </row>
    <row r="3361" spans="1:12" ht="43.5" x14ac:dyDescent="0.35">
      <c r="A3361" s="5" t="s">
        <v>4</v>
      </c>
      <c r="B3361" s="5" t="s">
        <v>17</v>
      </c>
      <c r="C3361" s="5" t="s">
        <v>1563</v>
      </c>
      <c r="D3361" s="8" t="s">
        <v>64</v>
      </c>
      <c r="E3361" s="16" t="s">
        <v>75</v>
      </c>
      <c r="F3361" s="16" t="s">
        <v>149</v>
      </c>
      <c r="G3361" s="8" t="s">
        <v>1561</v>
      </c>
      <c r="H3361" s="8" t="s">
        <v>1562</v>
      </c>
      <c r="I3361" s="16" t="s">
        <v>296</v>
      </c>
      <c r="J3361" s="16">
        <v>16.785903923309998</v>
      </c>
      <c r="K3361" s="16">
        <v>-96.558217566948997</v>
      </c>
      <c r="L3361" s="16" t="str">
        <f>HYPERLINK("https://maps.google.com/?q=16.78590392331,-96.558217566949", "🔗 Ver Mapa")</f>
        <v>🔗 Ver Mapa</v>
      </c>
    </row>
    <row r="3362" spans="1:12" ht="43.5" x14ac:dyDescent="0.35">
      <c r="A3362" s="6" t="s">
        <v>4</v>
      </c>
      <c r="B3362" s="6" t="s">
        <v>17</v>
      </c>
      <c r="C3362" s="6" t="s">
        <v>1563</v>
      </c>
      <c r="D3362" s="11" t="s">
        <v>64</v>
      </c>
      <c r="E3362" s="17" t="s">
        <v>75</v>
      </c>
      <c r="F3362" s="17" t="s">
        <v>149</v>
      </c>
      <c r="G3362" s="11" t="s">
        <v>1561</v>
      </c>
      <c r="H3362" s="11" t="s">
        <v>1562</v>
      </c>
      <c r="I3362" s="17" t="s">
        <v>296</v>
      </c>
      <c r="J3362" s="17">
        <v>16.785906010000001</v>
      </c>
      <c r="K3362" s="17">
        <v>-96.580004759999994</v>
      </c>
      <c r="L3362" s="17" t="str">
        <f>HYPERLINK("https://maps.google.com/?q=16.78590601,-96.58000476", "🔗 Ver Mapa")</f>
        <v>🔗 Ver Mapa</v>
      </c>
    </row>
    <row r="3363" spans="1:12" ht="43.5" x14ac:dyDescent="0.35">
      <c r="A3363" s="5" t="s">
        <v>4</v>
      </c>
      <c r="B3363" s="5" t="s">
        <v>17</v>
      </c>
      <c r="C3363" s="5" t="s">
        <v>1563</v>
      </c>
      <c r="D3363" s="8" t="s">
        <v>64</v>
      </c>
      <c r="E3363" s="16" t="s">
        <v>75</v>
      </c>
      <c r="F3363" s="16" t="s">
        <v>149</v>
      </c>
      <c r="G3363" s="8" t="s">
        <v>1561</v>
      </c>
      <c r="H3363" s="8" t="s">
        <v>1562</v>
      </c>
      <c r="I3363" s="16" t="s">
        <v>296</v>
      </c>
      <c r="J3363" s="16">
        <v>16.785906924887001</v>
      </c>
      <c r="K3363" s="16">
        <v>-96.573793567888004</v>
      </c>
      <c r="L3363" s="16" t="str">
        <f>HYPERLINK("https://maps.google.com/?q=16.785906924887,-96.573793567888", "🔗 Ver Mapa")</f>
        <v>🔗 Ver Mapa</v>
      </c>
    </row>
    <row r="3364" spans="1:12" ht="43.5" x14ac:dyDescent="0.35">
      <c r="A3364" s="6" t="s">
        <v>4</v>
      </c>
      <c r="B3364" s="6" t="s">
        <v>17</v>
      </c>
      <c r="C3364" s="6" t="s">
        <v>1563</v>
      </c>
      <c r="D3364" s="11" t="s">
        <v>64</v>
      </c>
      <c r="E3364" s="17" t="s">
        <v>75</v>
      </c>
      <c r="F3364" s="17" t="s">
        <v>149</v>
      </c>
      <c r="G3364" s="11" t="s">
        <v>1561</v>
      </c>
      <c r="H3364" s="11" t="s">
        <v>1562</v>
      </c>
      <c r="I3364" s="17" t="s">
        <v>296</v>
      </c>
      <c r="J3364" s="17">
        <v>16.785912923217001</v>
      </c>
      <c r="K3364" s="17">
        <v>-96.573272569439993</v>
      </c>
      <c r="L3364" s="17" t="str">
        <f>HYPERLINK("https://maps.google.com/?q=16.785912923217,-96.57327256944", "🔗 Ver Mapa")</f>
        <v>🔗 Ver Mapa</v>
      </c>
    </row>
    <row r="3365" spans="1:12" ht="43.5" x14ac:dyDescent="0.35">
      <c r="A3365" s="5" t="s">
        <v>4</v>
      </c>
      <c r="B3365" s="5" t="s">
        <v>17</v>
      </c>
      <c r="C3365" s="5" t="s">
        <v>1563</v>
      </c>
      <c r="D3365" s="8" t="s">
        <v>64</v>
      </c>
      <c r="E3365" s="16" t="s">
        <v>75</v>
      </c>
      <c r="F3365" s="16" t="s">
        <v>149</v>
      </c>
      <c r="G3365" s="8" t="s">
        <v>1561</v>
      </c>
      <c r="H3365" s="8" t="s">
        <v>1562</v>
      </c>
      <c r="I3365" s="16" t="s">
        <v>296</v>
      </c>
      <c r="J3365" s="16">
        <v>16.785916924376</v>
      </c>
      <c r="K3365" s="16">
        <v>-96.558068569910006</v>
      </c>
      <c r="L3365" s="16" t="str">
        <f>HYPERLINK("https://maps.google.com/?q=16.785916924376,-96.55806856991", "🔗 Ver Mapa")</f>
        <v>🔗 Ver Mapa</v>
      </c>
    </row>
    <row r="3366" spans="1:12" ht="43.5" x14ac:dyDescent="0.35">
      <c r="A3366" s="6" t="s">
        <v>4</v>
      </c>
      <c r="B3366" s="6" t="s">
        <v>17</v>
      </c>
      <c r="C3366" s="6" t="s">
        <v>1563</v>
      </c>
      <c r="D3366" s="11" t="s">
        <v>64</v>
      </c>
      <c r="E3366" s="17" t="s">
        <v>75</v>
      </c>
      <c r="F3366" s="17" t="s">
        <v>149</v>
      </c>
      <c r="G3366" s="11" t="s">
        <v>1561</v>
      </c>
      <c r="H3366" s="11" t="s">
        <v>1562</v>
      </c>
      <c r="I3366" s="17" t="s">
        <v>296</v>
      </c>
      <c r="J3366" s="17">
        <v>16.785917924684</v>
      </c>
      <c r="K3366" s="17">
        <v>-96.573661568318997</v>
      </c>
      <c r="L3366" s="17" t="str">
        <f>HYPERLINK("https://maps.google.com/?q=16.785917924684,-96.573661568319", "🔗 Ver Mapa")</f>
        <v>🔗 Ver Mapa</v>
      </c>
    </row>
    <row r="3367" spans="1:12" ht="43.5" x14ac:dyDescent="0.35">
      <c r="A3367" s="5" t="s">
        <v>4</v>
      </c>
      <c r="B3367" s="5" t="s">
        <v>17</v>
      </c>
      <c r="C3367" s="5" t="s">
        <v>1563</v>
      </c>
      <c r="D3367" s="8" t="s">
        <v>64</v>
      </c>
      <c r="E3367" s="16" t="s">
        <v>75</v>
      </c>
      <c r="F3367" s="16" t="s">
        <v>149</v>
      </c>
      <c r="G3367" s="8" t="s">
        <v>1561</v>
      </c>
      <c r="H3367" s="8" t="s">
        <v>1562</v>
      </c>
      <c r="I3367" s="16" t="s">
        <v>296</v>
      </c>
      <c r="J3367" s="16">
        <v>16.785918928064</v>
      </c>
      <c r="K3367" s="16">
        <v>-96.561209569753998</v>
      </c>
      <c r="L3367" s="16" t="str">
        <f>HYPERLINK("https://maps.google.com/?q=16.785918928064,-96.561209569754", "🔗 Ver Mapa")</f>
        <v>🔗 Ver Mapa</v>
      </c>
    </row>
    <row r="3368" spans="1:12" ht="43.5" x14ac:dyDescent="0.35">
      <c r="A3368" s="6" t="s">
        <v>4</v>
      </c>
      <c r="B3368" s="6" t="s">
        <v>17</v>
      </c>
      <c r="C3368" s="6" t="s">
        <v>1563</v>
      </c>
      <c r="D3368" s="11" t="s">
        <v>64</v>
      </c>
      <c r="E3368" s="17" t="s">
        <v>75</v>
      </c>
      <c r="F3368" s="17" t="s">
        <v>149</v>
      </c>
      <c r="G3368" s="11" t="s">
        <v>1561</v>
      </c>
      <c r="H3368" s="11" t="s">
        <v>1562</v>
      </c>
      <c r="I3368" s="17" t="s">
        <v>296</v>
      </c>
      <c r="J3368" s="17">
        <v>16.785923928211002</v>
      </c>
      <c r="K3368" s="17">
        <v>-96.561044565179998</v>
      </c>
      <c r="L3368" s="17" t="str">
        <f>HYPERLINK("https://maps.google.com/?q=16.785923928211,-96.56104456518", "🔗 Ver Mapa")</f>
        <v>🔗 Ver Mapa</v>
      </c>
    </row>
    <row r="3369" spans="1:12" ht="43.5" x14ac:dyDescent="0.35">
      <c r="A3369" s="5" t="s">
        <v>4</v>
      </c>
      <c r="B3369" s="5" t="s">
        <v>17</v>
      </c>
      <c r="C3369" s="5" t="s">
        <v>1563</v>
      </c>
      <c r="D3369" s="8" t="s">
        <v>64</v>
      </c>
      <c r="E3369" s="16" t="s">
        <v>75</v>
      </c>
      <c r="F3369" s="16" t="s">
        <v>149</v>
      </c>
      <c r="G3369" s="8" t="s">
        <v>1561</v>
      </c>
      <c r="H3369" s="8" t="s">
        <v>1562</v>
      </c>
      <c r="I3369" s="16" t="s">
        <v>296</v>
      </c>
      <c r="J3369" s="16">
        <v>16.785924925482998</v>
      </c>
      <c r="K3369" s="16">
        <v>-96.558029572058004</v>
      </c>
      <c r="L3369" s="16" t="str">
        <f>HYPERLINK("https://maps.google.com/?q=16.785924925483,-96.558029572058", "🔗 Ver Mapa")</f>
        <v>🔗 Ver Mapa</v>
      </c>
    </row>
    <row r="3370" spans="1:12" ht="43.5" x14ac:dyDescent="0.35">
      <c r="A3370" s="6" t="s">
        <v>4</v>
      </c>
      <c r="B3370" s="6" t="s">
        <v>17</v>
      </c>
      <c r="C3370" s="6" t="s">
        <v>1563</v>
      </c>
      <c r="D3370" s="11" t="s">
        <v>64</v>
      </c>
      <c r="E3370" s="17" t="s">
        <v>75</v>
      </c>
      <c r="F3370" s="17" t="s">
        <v>149</v>
      </c>
      <c r="G3370" s="11" t="s">
        <v>1561</v>
      </c>
      <c r="H3370" s="11" t="s">
        <v>1562</v>
      </c>
      <c r="I3370" s="17" t="s">
        <v>296</v>
      </c>
      <c r="J3370" s="17">
        <v>16.785924925612001</v>
      </c>
      <c r="K3370" s="17">
        <v>-96.561164568154993</v>
      </c>
      <c r="L3370" s="17" t="str">
        <f>HYPERLINK("https://maps.google.com/?q=16.785924925612,-96.561164568155", "🔗 Ver Mapa")</f>
        <v>🔗 Ver Mapa</v>
      </c>
    </row>
    <row r="3371" spans="1:12" ht="43.5" x14ac:dyDescent="0.35">
      <c r="A3371" s="5" t="s">
        <v>4</v>
      </c>
      <c r="B3371" s="5" t="s">
        <v>17</v>
      </c>
      <c r="C3371" s="5" t="s">
        <v>1563</v>
      </c>
      <c r="D3371" s="8" t="s">
        <v>64</v>
      </c>
      <c r="E3371" s="16" t="s">
        <v>75</v>
      </c>
      <c r="F3371" s="16" t="s">
        <v>149</v>
      </c>
      <c r="G3371" s="8" t="s">
        <v>1561</v>
      </c>
      <c r="H3371" s="8" t="s">
        <v>1562</v>
      </c>
      <c r="I3371" s="16" t="s">
        <v>296</v>
      </c>
      <c r="J3371" s="16">
        <v>16.785926920146</v>
      </c>
      <c r="K3371" s="16">
        <v>-96.570548563295006</v>
      </c>
      <c r="L3371" s="16" t="str">
        <f>HYPERLINK("https://maps.google.com/?q=16.785926920146,-96.570548563295", "🔗 Ver Mapa")</f>
        <v>🔗 Ver Mapa</v>
      </c>
    </row>
    <row r="3372" spans="1:12" ht="43.5" x14ac:dyDescent="0.35">
      <c r="A3372" s="6" t="s">
        <v>4</v>
      </c>
      <c r="B3372" s="6" t="s">
        <v>17</v>
      </c>
      <c r="C3372" s="6" t="s">
        <v>1563</v>
      </c>
      <c r="D3372" s="11" t="s">
        <v>64</v>
      </c>
      <c r="E3372" s="17" t="s">
        <v>75</v>
      </c>
      <c r="F3372" s="17" t="s">
        <v>149</v>
      </c>
      <c r="G3372" s="11" t="s">
        <v>1561</v>
      </c>
      <c r="H3372" s="11" t="s">
        <v>1562</v>
      </c>
      <c r="I3372" s="17" t="s">
        <v>296</v>
      </c>
      <c r="J3372" s="17">
        <v>16.785927922081999</v>
      </c>
      <c r="K3372" s="17">
        <v>-96.570701564692996</v>
      </c>
      <c r="L3372" s="17" t="str">
        <f>HYPERLINK("https://maps.google.com/?q=16.785927922082,-96.570701564693", "🔗 Ver Mapa")</f>
        <v>🔗 Ver Mapa</v>
      </c>
    </row>
    <row r="3373" spans="1:12" ht="43.5" x14ac:dyDescent="0.35">
      <c r="A3373" s="5" t="s">
        <v>4</v>
      </c>
      <c r="B3373" s="5" t="s">
        <v>17</v>
      </c>
      <c r="C3373" s="5" t="s">
        <v>1563</v>
      </c>
      <c r="D3373" s="8" t="s">
        <v>64</v>
      </c>
      <c r="E3373" s="16" t="s">
        <v>75</v>
      </c>
      <c r="F3373" s="16" t="s">
        <v>149</v>
      </c>
      <c r="G3373" s="8" t="s">
        <v>1561</v>
      </c>
      <c r="H3373" s="8" t="s">
        <v>1562</v>
      </c>
      <c r="I3373" s="16" t="s">
        <v>296</v>
      </c>
      <c r="J3373" s="16">
        <v>16.785929924165998</v>
      </c>
      <c r="K3373" s="16">
        <v>-96.573410561504005</v>
      </c>
      <c r="L3373" s="16" t="str">
        <f>HYPERLINK("https://maps.google.com/?q=16.785929924166,-96.573410561504", "🔗 Ver Mapa")</f>
        <v>🔗 Ver Mapa</v>
      </c>
    </row>
    <row r="3374" spans="1:12" ht="43.5" x14ac:dyDescent="0.35">
      <c r="A3374" s="6" t="s">
        <v>4</v>
      </c>
      <c r="B3374" s="6" t="s">
        <v>17</v>
      </c>
      <c r="C3374" s="6" t="s">
        <v>1563</v>
      </c>
      <c r="D3374" s="11" t="s">
        <v>64</v>
      </c>
      <c r="E3374" s="17" t="s">
        <v>75</v>
      </c>
      <c r="F3374" s="17" t="s">
        <v>149</v>
      </c>
      <c r="G3374" s="11" t="s">
        <v>1561</v>
      </c>
      <c r="H3374" s="11" t="s">
        <v>1562</v>
      </c>
      <c r="I3374" s="17" t="s">
        <v>296</v>
      </c>
      <c r="J3374" s="17">
        <v>16.785930922215002</v>
      </c>
      <c r="K3374" s="17">
        <v>-96.557968573394007</v>
      </c>
      <c r="L3374" s="17" t="str">
        <f>HYPERLINK("https://maps.google.com/?q=16.785930922215,-96.557968573394", "🔗 Ver Mapa")</f>
        <v>🔗 Ver Mapa</v>
      </c>
    </row>
    <row r="3375" spans="1:12" ht="43.5" x14ac:dyDescent="0.35">
      <c r="A3375" s="5" t="s">
        <v>4</v>
      </c>
      <c r="B3375" s="5" t="s">
        <v>17</v>
      </c>
      <c r="C3375" s="5" t="s">
        <v>1563</v>
      </c>
      <c r="D3375" s="8" t="s">
        <v>64</v>
      </c>
      <c r="E3375" s="16" t="s">
        <v>75</v>
      </c>
      <c r="F3375" s="16" t="s">
        <v>149</v>
      </c>
      <c r="G3375" s="8" t="s">
        <v>1561</v>
      </c>
      <c r="H3375" s="8" t="s">
        <v>1562</v>
      </c>
      <c r="I3375" s="16" t="s">
        <v>296</v>
      </c>
      <c r="J3375" s="16">
        <v>16.785930924218</v>
      </c>
      <c r="K3375" s="16">
        <v>-96.558374566877006</v>
      </c>
      <c r="L3375" s="16" t="str">
        <f>HYPERLINK("https://maps.google.com/?q=16.785930924218,-96.558374566877", "🔗 Ver Mapa")</f>
        <v>🔗 Ver Mapa</v>
      </c>
    </row>
    <row r="3376" spans="1:12" ht="43.5" x14ac:dyDescent="0.35">
      <c r="A3376" s="6" t="s">
        <v>4</v>
      </c>
      <c r="B3376" s="6" t="s">
        <v>17</v>
      </c>
      <c r="C3376" s="6" t="s">
        <v>1563</v>
      </c>
      <c r="D3376" s="11" t="s">
        <v>64</v>
      </c>
      <c r="E3376" s="17" t="s">
        <v>75</v>
      </c>
      <c r="F3376" s="17" t="s">
        <v>149</v>
      </c>
      <c r="G3376" s="11" t="s">
        <v>1561</v>
      </c>
      <c r="H3376" s="11" t="s">
        <v>1562</v>
      </c>
      <c r="I3376" s="17" t="s">
        <v>296</v>
      </c>
      <c r="J3376" s="17">
        <v>16.785931918208998</v>
      </c>
      <c r="K3376" s="17">
        <v>-96.571022564184005</v>
      </c>
      <c r="L3376" s="17" t="str">
        <f>HYPERLINK("https://maps.google.com/?q=16.785931918209,-96.571022564184", "🔗 Ver Mapa")</f>
        <v>🔗 Ver Mapa</v>
      </c>
    </row>
    <row r="3377" spans="1:12" ht="43.5" x14ac:dyDescent="0.35">
      <c r="A3377" s="5" t="s">
        <v>4</v>
      </c>
      <c r="B3377" s="5" t="s">
        <v>17</v>
      </c>
      <c r="C3377" s="5" t="s">
        <v>1563</v>
      </c>
      <c r="D3377" s="8" t="s">
        <v>64</v>
      </c>
      <c r="E3377" s="16" t="s">
        <v>75</v>
      </c>
      <c r="F3377" s="16" t="s">
        <v>149</v>
      </c>
      <c r="G3377" s="8" t="s">
        <v>1561</v>
      </c>
      <c r="H3377" s="8" t="s">
        <v>1562</v>
      </c>
      <c r="I3377" s="16" t="s">
        <v>296</v>
      </c>
      <c r="J3377" s="16">
        <v>16.785935922634</v>
      </c>
      <c r="K3377" s="16">
        <v>-96.560973569083004</v>
      </c>
      <c r="L3377" s="16" t="str">
        <f>HYPERLINK("https://maps.google.com/?q=16.785935922634,-96.560973569083", "🔗 Ver Mapa")</f>
        <v>🔗 Ver Mapa</v>
      </c>
    </row>
    <row r="3378" spans="1:12" ht="43.5" x14ac:dyDescent="0.35">
      <c r="A3378" s="6" t="s">
        <v>4</v>
      </c>
      <c r="B3378" s="6" t="s">
        <v>17</v>
      </c>
      <c r="C3378" s="6" t="s">
        <v>1563</v>
      </c>
      <c r="D3378" s="11" t="s">
        <v>64</v>
      </c>
      <c r="E3378" s="17" t="s">
        <v>75</v>
      </c>
      <c r="F3378" s="17" t="s">
        <v>149</v>
      </c>
      <c r="G3378" s="11" t="s">
        <v>1561</v>
      </c>
      <c r="H3378" s="11" t="s">
        <v>1562</v>
      </c>
      <c r="I3378" s="17" t="s">
        <v>296</v>
      </c>
      <c r="J3378" s="17">
        <v>16.785935923674</v>
      </c>
      <c r="K3378" s="17">
        <v>-96.561400567744997</v>
      </c>
      <c r="L3378" s="17" t="str">
        <f>HYPERLINK("https://maps.google.com/?q=16.785935923674,-96.561400567745", "🔗 Ver Mapa")</f>
        <v>🔗 Ver Mapa</v>
      </c>
    </row>
    <row r="3379" spans="1:12" ht="43.5" x14ac:dyDescent="0.35">
      <c r="A3379" s="5" t="s">
        <v>4</v>
      </c>
      <c r="B3379" s="5" t="s">
        <v>17</v>
      </c>
      <c r="C3379" s="5" t="s">
        <v>1563</v>
      </c>
      <c r="D3379" s="8" t="s">
        <v>64</v>
      </c>
      <c r="E3379" s="16" t="s">
        <v>75</v>
      </c>
      <c r="F3379" s="16" t="s">
        <v>149</v>
      </c>
      <c r="G3379" s="8" t="s">
        <v>1561</v>
      </c>
      <c r="H3379" s="8" t="s">
        <v>1562</v>
      </c>
      <c r="I3379" s="16" t="s">
        <v>296</v>
      </c>
      <c r="J3379" s="16">
        <v>16.785935924147001</v>
      </c>
      <c r="K3379" s="16">
        <v>-96.577060564874998</v>
      </c>
      <c r="L3379" s="16" t="str">
        <f>HYPERLINK("https://maps.google.com/?q=16.785935924147,-96.577060564875", "🔗 Ver Mapa")</f>
        <v>🔗 Ver Mapa</v>
      </c>
    </row>
    <row r="3380" spans="1:12" ht="43.5" x14ac:dyDescent="0.35">
      <c r="A3380" s="6" t="s">
        <v>4</v>
      </c>
      <c r="B3380" s="6" t="s">
        <v>17</v>
      </c>
      <c r="C3380" s="6" t="s">
        <v>1563</v>
      </c>
      <c r="D3380" s="11" t="s">
        <v>64</v>
      </c>
      <c r="E3380" s="17" t="s">
        <v>75</v>
      </c>
      <c r="F3380" s="17" t="s">
        <v>149</v>
      </c>
      <c r="G3380" s="11" t="s">
        <v>1561</v>
      </c>
      <c r="H3380" s="11" t="s">
        <v>1562</v>
      </c>
      <c r="I3380" s="17" t="s">
        <v>296</v>
      </c>
      <c r="J3380" s="17">
        <v>16.785937924389</v>
      </c>
      <c r="K3380" s="17">
        <v>-96.561331565266997</v>
      </c>
      <c r="L3380" s="17" t="str">
        <f>HYPERLINK("https://maps.google.com/?q=16.785937924389,-96.561331565267", "🔗 Ver Mapa")</f>
        <v>🔗 Ver Mapa</v>
      </c>
    </row>
    <row r="3381" spans="1:12" ht="43.5" x14ac:dyDescent="0.35">
      <c r="A3381" s="5" t="s">
        <v>4</v>
      </c>
      <c r="B3381" s="5" t="s">
        <v>17</v>
      </c>
      <c r="C3381" s="5" t="s">
        <v>1563</v>
      </c>
      <c r="D3381" s="8" t="s">
        <v>64</v>
      </c>
      <c r="E3381" s="16" t="s">
        <v>75</v>
      </c>
      <c r="F3381" s="16" t="s">
        <v>149</v>
      </c>
      <c r="G3381" s="8" t="s">
        <v>1561</v>
      </c>
      <c r="H3381" s="8" t="s">
        <v>1562</v>
      </c>
      <c r="I3381" s="16" t="s">
        <v>296</v>
      </c>
      <c r="J3381" s="16">
        <v>16.785943928167999</v>
      </c>
      <c r="K3381" s="16">
        <v>-96.561882572778998</v>
      </c>
      <c r="L3381" s="16" t="str">
        <f>HYPERLINK("https://maps.google.com/?q=16.785943928168,-96.561882572779", "🔗 Ver Mapa")</f>
        <v>🔗 Ver Mapa</v>
      </c>
    </row>
    <row r="3382" spans="1:12" ht="43.5" x14ac:dyDescent="0.35">
      <c r="A3382" s="6" t="s">
        <v>4</v>
      </c>
      <c r="B3382" s="6" t="s">
        <v>17</v>
      </c>
      <c r="C3382" s="6" t="s">
        <v>1563</v>
      </c>
      <c r="D3382" s="11" t="s">
        <v>64</v>
      </c>
      <c r="E3382" s="17" t="s">
        <v>75</v>
      </c>
      <c r="F3382" s="17" t="s">
        <v>149</v>
      </c>
      <c r="G3382" s="11" t="s">
        <v>1561</v>
      </c>
      <c r="H3382" s="11" t="s">
        <v>1562</v>
      </c>
      <c r="I3382" s="17" t="s">
        <v>296</v>
      </c>
      <c r="J3382" s="17">
        <v>16.785944924620999</v>
      </c>
      <c r="K3382" s="17">
        <v>-96.560946570384004</v>
      </c>
      <c r="L3382" s="17" t="str">
        <f>HYPERLINK("https://maps.google.com/?q=16.785944924621,-96.560946570384", "🔗 Ver Mapa")</f>
        <v>🔗 Ver Mapa</v>
      </c>
    </row>
    <row r="3383" spans="1:12" ht="43.5" x14ac:dyDescent="0.35">
      <c r="A3383" s="5" t="s">
        <v>4</v>
      </c>
      <c r="B3383" s="5" t="s">
        <v>17</v>
      </c>
      <c r="C3383" s="5" t="s">
        <v>1563</v>
      </c>
      <c r="D3383" s="8" t="s">
        <v>64</v>
      </c>
      <c r="E3383" s="16" t="s">
        <v>75</v>
      </c>
      <c r="F3383" s="16" t="s">
        <v>149</v>
      </c>
      <c r="G3383" s="8" t="s">
        <v>1561</v>
      </c>
      <c r="H3383" s="8" t="s">
        <v>1562</v>
      </c>
      <c r="I3383" s="16" t="s">
        <v>296</v>
      </c>
      <c r="J3383" s="16">
        <v>16.78594592004</v>
      </c>
      <c r="K3383" s="16">
        <v>-96.561431571631005</v>
      </c>
      <c r="L3383" s="16" t="str">
        <f>HYPERLINK("https://maps.google.com/?q=16.78594592004,-96.561431571631", "🔗 Ver Mapa")</f>
        <v>🔗 Ver Mapa</v>
      </c>
    </row>
    <row r="3384" spans="1:12" ht="43.5" x14ac:dyDescent="0.35">
      <c r="A3384" s="6" t="s">
        <v>4</v>
      </c>
      <c r="B3384" s="6" t="s">
        <v>17</v>
      </c>
      <c r="C3384" s="6" t="s">
        <v>1563</v>
      </c>
      <c r="D3384" s="11" t="s">
        <v>64</v>
      </c>
      <c r="E3384" s="17" t="s">
        <v>75</v>
      </c>
      <c r="F3384" s="17" t="s">
        <v>149</v>
      </c>
      <c r="G3384" s="11" t="s">
        <v>1561</v>
      </c>
      <c r="H3384" s="11" t="s">
        <v>1562</v>
      </c>
      <c r="I3384" s="17" t="s">
        <v>296</v>
      </c>
      <c r="J3384" s="17">
        <v>16.785947921697002</v>
      </c>
      <c r="K3384" s="17">
        <v>-96.561311567836995</v>
      </c>
      <c r="L3384" s="17" t="str">
        <f>HYPERLINK("https://maps.google.com/?q=16.785947921697,-96.561311567837", "🔗 Ver Mapa")</f>
        <v>🔗 Ver Mapa</v>
      </c>
    </row>
    <row r="3385" spans="1:12" ht="43.5" x14ac:dyDescent="0.35">
      <c r="A3385" s="5" t="s">
        <v>4</v>
      </c>
      <c r="B3385" s="5" t="s">
        <v>17</v>
      </c>
      <c r="C3385" s="5" t="s">
        <v>1563</v>
      </c>
      <c r="D3385" s="8" t="s">
        <v>64</v>
      </c>
      <c r="E3385" s="16" t="s">
        <v>75</v>
      </c>
      <c r="F3385" s="16" t="s">
        <v>149</v>
      </c>
      <c r="G3385" s="8" t="s">
        <v>1561</v>
      </c>
      <c r="H3385" s="8" t="s">
        <v>1562</v>
      </c>
      <c r="I3385" s="16" t="s">
        <v>296</v>
      </c>
      <c r="J3385" s="16">
        <v>16.785962920464002</v>
      </c>
      <c r="K3385" s="16">
        <v>-96.561566570400998</v>
      </c>
      <c r="L3385" s="16" t="str">
        <f>HYPERLINK("https://maps.google.com/?q=16.785962920464,-96.561566570401", "🔗 Ver Mapa")</f>
        <v>🔗 Ver Mapa</v>
      </c>
    </row>
    <row r="3386" spans="1:12" ht="43.5" x14ac:dyDescent="0.35">
      <c r="A3386" s="6" t="s">
        <v>4</v>
      </c>
      <c r="B3386" s="6" t="s">
        <v>17</v>
      </c>
      <c r="C3386" s="6" t="s">
        <v>1563</v>
      </c>
      <c r="D3386" s="11" t="s">
        <v>64</v>
      </c>
      <c r="E3386" s="17" t="s">
        <v>75</v>
      </c>
      <c r="F3386" s="17" t="s">
        <v>149</v>
      </c>
      <c r="G3386" s="11" t="s">
        <v>1561</v>
      </c>
      <c r="H3386" s="11" t="s">
        <v>1562</v>
      </c>
      <c r="I3386" s="17" t="s">
        <v>296</v>
      </c>
      <c r="J3386" s="17">
        <v>16.785982923980001</v>
      </c>
      <c r="K3386" s="17">
        <v>-96.561664566866995</v>
      </c>
      <c r="L3386" s="17" t="str">
        <f>HYPERLINK("https://maps.google.com/?q=16.78598292398,-96.561664566867", "🔗 Ver Mapa")</f>
        <v>🔗 Ver Mapa</v>
      </c>
    </row>
    <row r="3387" spans="1:12" ht="43.5" x14ac:dyDescent="0.35">
      <c r="A3387" s="5" t="s">
        <v>4</v>
      </c>
      <c r="B3387" s="5" t="s">
        <v>17</v>
      </c>
      <c r="C3387" s="5" t="s">
        <v>1563</v>
      </c>
      <c r="D3387" s="8" t="s">
        <v>64</v>
      </c>
      <c r="E3387" s="16" t="s">
        <v>75</v>
      </c>
      <c r="F3387" s="16" t="s">
        <v>149</v>
      </c>
      <c r="G3387" s="8" t="s">
        <v>1561</v>
      </c>
      <c r="H3387" s="8" t="s">
        <v>1562</v>
      </c>
      <c r="I3387" s="16" t="s">
        <v>296</v>
      </c>
      <c r="J3387" s="16">
        <v>16.785983919079001</v>
      </c>
      <c r="K3387" s="16">
        <v>-96.577127564603003</v>
      </c>
      <c r="L3387" s="16" t="str">
        <f>HYPERLINK("https://maps.google.com/?q=16.785983919079,-96.577127564603", "🔗 Ver Mapa")</f>
        <v>🔗 Ver Mapa</v>
      </c>
    </row>
    <row r="3388" spans="1:12" ht="43.5" x14ac:dyDescent="0.35">
      <c r="A3388" s="6" t="s">
        <v>4</v>
      </c>
      <c r="B3388" s="6" t="s">
        <v>17</v>
      </c>
      <c r="C3388" s="6" t="s">
        <v>1563</v>
      </c>
      <c r="D3388" s="11" t="s">
        <v>64</v>
      </c>
      <c r="E3388" s="17" t="s">
        <v>75</v>
      </c>
      <c r="F3388" s="17" t="s">
        <v>149</v>
      </c>
      <c r="G3388" s="11" t="s">
        <v>1561</v>
      </c>
      <c r="H3388" s="11" t="s">
        <v>1562</v>
      </c>
      <c r="I3388" s="17" t="s">
        <v>296</v>
      </c>
      <c r="J3388" s="17">
        <v>16.785986925433999</v>
      </c>
      <c r="K3388" s="17">
        <v>-96.557802569955996</v>
      </c>
      <c r="L3388" s="17" t="str">
        <f>HYPERLINK("https://maps.google.com/?q=16.785986925434,-96.557802569956", "🔗 Ver Mapa")</f>
        <v>🔗 Ver Mapa</v>
      </c>
    </row>
    <row r="3389" spans="1:12" ht="43.5" x14ac:dyDescent="0.35">
      <c r="A3389" s="5" t="s">
        <v>4</v>
      </c>
      <c r="B3389" s="5" t="s">
        <v>17</v>
      </c>
      <c r="C3389" s="5" t="s">
        <v>1563</v>
      </c>
      <c r="D3389" s="8" t="s">
        <v>64</v>
      </c>
      <c r="E3389" s="16" t="s">
        <v>75</v>
      </c>
      <c r="F3389" s="16" t="s">
        <v>149</v>
      </c>
      <c r="G3389" s="8" t="s">
        <v>1561</v>
      </c>
      <c r="H3389" s="8" t="s">
        <v>1562</v>
      </c>
      <c r="I3389" s="16" t="s">
        <v>296</v>
      </c>
      <c r="J3389" s="16">
        <v>16.785992921510001</v>
      </c>
      <c r="K3389" s="16">
        <v>-96.560810572879006</v>
      </c>
      <c r="L3389" s="16" t="str">
        <f>HYPERLINK("https://maps.google.com/?q=16.78599292151,-96.560810572879", "🔗 Ver Mapa")</f>
        <v>🔗 Ver Mapa</v>
      </c>
    </row>
    <row r="3390" spans="1:12" ht="43.5" x14ac:dyDescent="0.35">
      <c r="A3390" s="6" t="s">
        <v>4</v>
      </c>
      <c r="B3390" s="6" t="s">
        <v>17</v>
      </c>
      <c r="C3390" s="6" t="s">
        <v>1563</v>
      </c>
      <c r="D3390" s="11" t="s">
        <v>64</v>
      </c>
      <c r="E3390" s="17" t="s">
        <v>75</v>
      </c>
      <c r="F3390" s="17" t="s">
        <v>149</v>
      </c>
      <c r="G3390" s="11" t="s">
        <v>1561</v>
      </c>
      <c r="H3390" s="11" t="s">
        <v>1562</v>
      </c>
      <c r="I3390" s="17" t="s">
        <v>296</v>
      </c>
      <c r="J3390" s="17">
        <v>16.785992923893001</v>
      </c>
      <c r="K3390" s="17">
        <v>-96.561738573504002</v>
      </c>
      <c r="L3390" s="17" t="str">
        <f>HYPERLINK("https://maps.google.com/?q=16.785992923893,-96.561738573504", "🔗 Ver Mapa")</f>
        <v>🔗 Ver Mapa</v>
      </c>
    </row>
    <row r="3391" spans="1:12" ht="43.5" x14ac:dyDescent="0.35">
      <c r="A3391" s="5" t="s">
        <v>4</v>
      </c>
      <c r="B3391" s="5" t="s">
        <v>17</v>
      </c>
      <c r="C3391" s="5" t="s">
        <v>1563</v>
      </c>
      <c r="D3391" s="8" t="s">
        <v>64</v>
      </c>
      <c r="E3391" s="16" t="s">
        <v>75</v>
      </c>
      <c r="F3391" s="16" t="s">
        <v>149</v>
      </c>
      <c r="G3391" s="8" t="s">
        <v>1561</v>
      </c>
      <c r="H3391" s="8" t="s">
        <v>1562</v>
      </c>
      <c r="I3391" s="16" t="s">
        <v>296</v>
      </c>
      <c r="J3391" s="16">
        <v>16.786001921655998</v>
      </c>
      <c r="K3391" s="16">
        <v>-96.557742572053996</v>
      </c>
      <c r="L3391" s="16" t="str">
        <f>HYPERLINK("https://maps.google.com/?q=16.786001921656,-96.557742572054", "🔗 Ver Mapa")</f>
        <v>🔗 Ver Mapa</v>
      </c>
    </row>
    <row r="3392" spans="1:12" ht="43.5" x14ac:dyDescent="0.35">
      <c r="A3392" s="6" t="s">
        <v>4</v>
      </c>
      <c r="B3392" s="6" t="s">
        <v>17</v>
      </c>
      <c r="C3392" s="6" t="s">
        <v>1563</v>
      </c>
      <c r="D3392" s="11" t="s">
        <v>64</v>
      </c>
      <c r="E3392" s="17" t="s">
        <v>75</v>
      </c>
      <c r="F3392" s="17" t="s">
        <v>149</v>
      </c>
      <c r="G3392" s="11" t="s">
        <v>1561</v>
      </c>
      <c r="H3392" s="11" t="s">
        <v>1562</v>
      </c>
      <c r="I3392" s="17" t="s">
        <v>296</v>
      </c>
      <c r="J3392" s="17">
        <v>16.786010925751999</v>
      </c>
      <c r="K3392" s="17">
        <v>-96.561863573105001</v>
      </c>
      <c r="L3392" s="17" t="str">
        <f>HYPERLINK("https://maps.google.com/?q=16.786010925752,-96.561863573105", "🔗 Ver Mapa")</f>
        <v>🔗 Ver Mapa</v>
      </c>
    </row>
    <row r="3393" spans="1:12" ht="43.5" x14ac:dyDescent="0.35">
      <c r="A3393" s="5" t="s">
        <v>4</v>
      </c>
      <c r="B3393" s="5" t="s">
        <v>17</v>
      </c>
      <c r="C3393" s="5" t="s">
        <v>1563</v>
      </c>
      <c r="D3393" s="8" t="s">
        <v>64</v>
      </c>
      <c r="E3393" s="16" t="s">
        <v>75</v>
      </c>
      <c r="F3393" s="16" t="s">
        <v>149</v>
      </c>
      <c r="G3393" s="8" t="s">
        <v>1561</v>
      </c>
      <c r="H3393" s="8" t="s">
        <v>1562</v>
      </c>
      <c r="I3393" s="16" t="s">
        <v>296</v>
      </c>
      <c r="J3393" s="16">
        <v>16.786010926704002</v>
      </c>
      <c r="K3393" s="16">
        <v>-96.559463567880996</v>
      </c>
      <c r="L3393" s="16" t="str">
        <f>HYPERLINK("https://maps.google.com/?q=16.786010926704,-96.559463567881", "🔗 Ver Mapa")</f>
        <v>🔗 Ver Mapa</v>
      </c>
    </row>
    <row r="3394" spans="1:12" ht="43.5" x14ac:dyDescent="0.35">
      <c r="A3394" s="6" t="s">
        <v>4</v>
      </c>
      <c r="B3394" s="6" t="s">
        <v>17</v>
      </c>
      <c r="C3394" s="6" t="s">
        <v>1563</v>
      </c>
      <c r="D3394" s="11" t="s">
        <v>64</v>
      </c>
      <c r="E3394" s="17" t="s">
        <v>75</v>
      </c>
      <c r="F3394" s="17" t="s">
        <v>149</v>
      </c>
      <c r="G3394" s="11" t="s">
        <v>1561</v>
      </c>
      <c r="H3394" s="11" t="s">
        <v>1562</v>
      </c>
      <c r="I3394" s="17" t="s">
        <v>296</v>
      </c>
      <c r="J3394" s="17">
        <v>16.786017916371001</v>
      </c>
      <c r="K3394" s="17">
        <v>-96.577159559202997</v>
      </c>
      <c r="L3394" s="17" t="str">
        <f>HYPERLINK("https://maps.google.com/?q=16.786017916371,-96.577159559203", "🔗 Ver Mapa")</f>
        <v>🔗 Ver Mapa</v>
      </c>
    </row>
    <row r="3395" spans="1:12" ht="43.5" x14ac:dyDescent="0.35">
      <c r="A3395" s="5" t="s">
        <v>4</v>
      </c>
      <c r="B3395" s="5" t="s">
        <v>17</v>
      </c>
      <c r="C3395" s="5" t="s">
        <v>1563</v>
      </c>
      <c r="D3395" s="8" t="s">
        <v>64</v>
      </c>
      <c r="E3395" s="16" t="s">
        <v>75</v>
      </c>
      <c r="F3395" s="16" t="s">
        <v>149</v>
      </c>
      <c r="G3395" s="8" t="s">
        <v>1561</v>
      </c>
      <c r="H3395" s="8" t="s">
        <v>1562</v>
      </c>
      <c r="I3395" s="16" t="s">
        <v>296</v>
      </c>
      <c r="J3395" s="16">
        <v>16.786024919755</v>
      </c>
      <c r="K3395" s="16">
        <v>-96.577193565349006</v>
      </c>
      <c r="L3395" s="16" t="str">
        <f>HYPERLINK("https://maps.google.com/?q=16.786024919755,-96.577193565349", "🔗 Ver Mapa")</f>
        <v>🔗 Ver Mapa</v>
      </c>
    </row>
    <row r="3396" spans="1:12" ht="43.5" x14ac:dyDescent="0.35">
      <c r="A3396" s="6" t="s">
        <v>4</v>
      </c>
      <c r="B3396" s="6" t="s">
        <v>17</v>
      </c>
      <c r="C3396" s="6" t="s">
        <v>1563</v>
      </c>
      <c r="D3396" s="11" t="s">
        <v>64</v>
      </c>
      <c r="E3396" s="17" t="s">
        <v>75</v>
      </c>
      <c r="F3396" s="17" t="s">
        <v>149</v>
      </c>
      <c r="G3396" s="11" t="s">
        <v>1561</v>
      </c>
      <c r="H3396" s="11" t="s">
        <v>1562</v>
      </c>
      <c r="I3396" s="17" t="s">
        <v>296</v>
      </c>
      <c r="J3396" s="17">
        <v>16.786026921287998</v>
      </c>
      <c r="K3396" s="17">
        <v>-96.570994565845993</v>
      </c>
      <c r="L3396" s="17" t="str">
        <f>HYPERLINK("https://maps.google.com/?q=16.786026921288,-96.570994565846", "🔗 Ver Mapa")</f>
        <v>🔗 Ver Mapa</v>
      </c>
    </row>
    <row r="3397" spans="1:12" ht="43.5" x14ac:dyDescent="0.35">
      <c r="A3397" s="5" t="s">
        <v>4</v>
      </c>
      <c r="B3397" s="5" t="s">
        <v>17</v>
      </c>
      <c r="C3397" s="5" t="s">
        <v>1563</v>
      </c>
      <c r="D3397" s="8" t="s">
        <v>64</v>
      </c>
      <c r="E3397" s="16" t="s">
        <v>75</v>
      </c>
      <c r="F3397" s="16" t="s">
        <v>149</v>
      </c>
      <c r="G3397" s="8" t="s">
        <v>1561</v>
      </c>
      <c r="H3397" s="8" t="s">
        <v>1562</v>
      </c>
      <c r="I3397" s="16" t="s">
        <v>296</v>
      </c>
      <c r="J3397" s="16">
        <v>16.786035927038998</v>
      </c>
      <c r="K3397" s="16">
        <v>-96.557693574026999</v>
      </c>
      <c r="L3397" s="16" t="str">
        <f>HYPERLINK("https://maps.google.com/?q=16.786035927039,-96.557693574027", "🔗 Ver Mapa")</f>
        <v>🔗 Ver Mapa</v>
      </c>
    </row>
    <row r="3398" spans="1:12" ht="43.5" x14ac:dyDescent="0.35">
      <c r="A3398" s="6" t="s">
        <v>4</v>
      </c>
      <c r="B3398" s="6" t="s">
        <v>17</v>
      </c>
      <c r="C3398" s="6" t="s">
        <v>1563</v>
      </c>
      <c r="D3398" s="11" t="s">
        <v>64</v>
      </c>
      <c r="E3398" s="17" t="s">
        <v>75</v>
      </c>
      <c r="F3398" s="17" t="s">
        <v>149</v>
      </c>
      <c r="G3398" s="11" t="s">
        <v>1561</v>
      </c>
      <c r="H3398" s="11" t="s">
        <v>1562</v>
      </c>
      <c r="I3398" s="17" t="s">
        <v>296</v>
      </c>
      <c r="J3398" s="17">
        <v>16.786039927733999</v>
      </c>
      <c r="K3398" s="17">
        <v>-96.560736569696004</v>
      </c>
      <c r="L3398" s="17" t="str">
        <f>HYPERLINK("https://maps.google.com/?q=16.786039927734,-96.560736569696", "🔗 Ver Mapa")</f>
        <v>🔗 Ver Mapa</v>
      </c>
    </row>
    <row r="3399" spans="1:12" ht="43.5" x14ac:dyDescent="0.35">
      <c r="A3399" s="5" t="s">
        <v>4</v>
      </c>
      <c r="B3399" s="5" t="s">
        <v>17</v>
      </c>
      <c r="C3399" s="5" t="s">
        <v>1563</v>
      </c>
      <c r="D3399" s="8" t="s">
        <v>64</v>
      </c>
      <c r="E3399" s="16" t="s">
        <v>75</v>
      </c>
      <c r="F3399" s="16" t="s">
        <v>149</v>
      </c>
      <c r="G3399" s="8" t="s">
        <v>1561</v>
      </c>
      <c r="H3399" s="8" t="s">
        <v>1562</v>
      </c>
      <c r="I3399" s="16" t="s">
        <v>296</v>
      </c>
      <c r="J3399" s="16">
        <v>16.786047923895001</v>
      </c>
      <c r="K3399" s="16">
        <v>-96.559632574253001</v>
      </c>
      <c r="L3399" s="16" t="str">
        <f>HYPERLINK("https://maps.google.com/?q=16.786047923895,-96.559632574253", "🔗 Ver Mapa")</f>
        <v>🔗 Ver Mapa</v>
      </c>
    </row>
    <row r="3400" spans="1:12" ht="43.5" x14ac:dyDescent="0.35">
      <c r="A3400" s="6" t="s">
        <v>4</v>
      </c>
      <c r="B3400" s="6" t="s">
        <v>17</v>
      </c>
      <c r="C3400" s="6" t="s">
        <v>1563</v>
      </c>
      <c r="D3400" s="11" t="s">
        <v>64</v>
      </c>
      <c r="E3400" s="17" t="s">
        <v>75</v>
      </c>
      <c r="F3400" s="17" t="s">
        <v>149</v>
      </c>
      <c r="G3400" s="11" t="s">
        <v>1561</v>
      </c>
      <c r="H3400" s="11" t="s">
        <v>1562</v>
      </c>
      <c r="I3400" s="17" t="s">
        <v>296</v>
      </c>
      <c r="J3400" s="17">
        <v>16.786048929220001</v>
      </c>
      <c r="K3400" s="17">
        <v>-96.560696574508</v>
      </c>
      <c r="L3400" s="17" t="str">
        <f>HYPERLINK("https://maps.google.com/?q=16.78604892922,-96.560696574508", "🔗 Ver Mapa")</f>
        <v>🔗 Ver Mapa</v>
      </c>
    </row>
    <row r="3401" spans="1:12" ht="43.5" x14ac:dyDescent="0.35">
      <c r="A3401" s="5" t="s">
        <v>4</v>
      </c>
      <c r="B3401" s="5" t="s">
        <v>17</v>
      </c>
      <c r="C3401" s="5" t="s">
        <v>1563</v>
      </c>
      <c r="D3401" s="8" t="s">
        <v>64</v>
      </c>
      <c r="E3401" s="16" t="s">
        <v>75</v>
      </c>
      <c r="F3401" s="16" t="s">
        <v>149</v>
      </c>
      <c r="G3401" s="8" t="s">
        <v>1561</v>
      </c>
      <c r="H3401" s="8" t="s">
        <v>1562</v>
      </c>
      <c r="I3401" s="16" t="s">
        <v>296</v>
      </c>
      <c r="J3401" s="16">
        <v>16.786060929367</v>
      </c>
      <c r="K3401" s="16">
        <v>-96.559529570983997</v>
      </c>
      <c r="L3401" s="16" t="str">
        <f>HYPERLINK("https://maps.google.com/?q=16.786060929367,-96.559529570984", "🔗 Ver Mapa")</f>
        <v>🔗 Ver Mapa</v>
      </c>
    </row>
    <row r="3402" spans="1:12" ht="43.5" x14ac:dyDescent="0.35">
      <c r="A3402" s="6" t="s">
        <v>4</v>
      </c>
      <c r="B3402" s="6" t="s">
        <v>17</v>
      </c>
      <c r="C3402" s="6" t="s">
        <v>1563</v>
      </c>
      <c r="D3402" s="11" t="s">
        <v>64</v>
      </c>
      <c r="E3402" s="17" t="s">
        <v>75</v>
      </c>
      <c r="F3402" s="17" t="s">
        <v>149</v>
      </c>
      <c r="G3402" s="11" t="s">
        <v>1561</v>
      </c>
      <c r="H3402" s="11" t="s">
        <v>1562</v>
      </c>
      <c r="I3402" s="17" t="s">
        <v>296</v>
      </c>
      <c r="J3402" s="17">
        <v>16.786064926087001</v>
      </c>
      <c r="K3402" s="17">
        <v>-96.559345572146995</v>
      </c>
      <c r="L3402" s="17" t="str">
        <f>HYPERLINK("https://maps.google.com/?q=16.786064926087,-96.559345572147", "🔗 Ver Mapa")</f>
        <v>🔗 Ver Mapa</v>
      </c>
    </row>
    <row r="3403" spans="1:12" ht="43.5" x14ac:dyDescent="0.35">
      <c r="A3403" s="5" t="s">
        <v>4</v>
      </c>
      <c r="B3403" s="5" t="s">
        <v>17</v>
      </c>
      <c r="C3403" s="5" t="s">
        <v>1563</v>
      </c>
      <c r="D3403" s="8" t="s">
        <v>64</v>
      </c>
      <c r="E3403" s="16" t="s">
        <v>75</v>
      </c>
      <c r="F3403" s="16" t="s">
        <v>149</v>
      </c>
      <c r="G3403" s="8" t="s">
        <v>1561</v>
      </c>
      <c r="H3403" s="8" t="s">
        <v>1562</v>
      </c>
      <c r="I3403" s="16" t="s">
        <v>296</v>
      </c>
      <c r="J3403" s="16">
        <v>16.786065925907</v>
      </c>
      <c r="K3403" s="16">
        <v>-96.570955567740995</v>
      </c>
      <c r="L3403" s="16" t="str">
        <f>HYPERLINK("https://maps.google.com/?q=16.786065925907,-96.570955567741", "🔗 Ver Mapa")</f>
        <v>🔗 Ver Mapa</v>
      </c>
    </row>
    <row r="3404" spans="1:12" ht="43.5" x14ac:dyDescent="0.35">
      <c r="A3404" s="6" t="s">
        <v>4</v>
      </c>
      <c r="B3404" s="6" t="s">
        <v>17</v>
      </c>
      <c r="C3404" s="6" t="s">
        <v>1563</v>
      </c>
      <c r="D3404" s="11" t="s">
        <v>64</v>
      </c>
      <c r="E3404" s="17" t="s">
        <v>75</v>
      </c>
      <c r="F3404" s="17" t="s">
        <v>149</v>
      </c>
      <c r="G3404" s="11" t="s">
        <v>1561</v>
      </c>
      <c r="H3404" s="11" t="s">
        <v>1562</v>
      </c>
      <c r="I3404" s="17" t="s">
        <v>296</v>
      </c>
      <c r="J3404" s="17">
        <v>16.786067920626</v>
      </c>
      <c r="K3404" s="17">
        <v>-96.570899561537004</v>
      </c>
      <c r="L3404" s="17" t="str">
        <f>HYPERLINK("https://maps.google.com/?q=16.786067920626,-96.570899561537", "🔗 Ver Mapa")</f>
        <v>🔗 Ver Mapa</v>
      </c>
    </row>
    <row r="3405" spans="1:12" ht="43.5" x14ac:dyDescent="0.35">
      <c r="A3405" s="5" t="s">
        <v>4</v>
      </c>
      <c r="B3405" s="5" t="s">
        <v>17</v>
      </c>
      <c r="C3405" s="5" t="s">
        <v>1563</v>
      </c>
      <c r="D3405" s="8" t="s">
        <v>64</v>
      </c>
      <c r="E3405" s="16" t="s">
        <v>75</v>
      </c>
      <c r="F3405" s="16" t="s">
        <v>149</v>
      </c>
      <c r="G3405" s="8" t="s">
        <v>1561</v>
      </c>
      <c r="H3405" s="8" t="s">
        <v>1562</v>
      </c>
      <c r="I3405" s="16" t="s">
        <v>296</v>
      </c>
      <c r="J3405" s="16">
        <v>16.786078928054</v>
      </c>
      <c r="K3405" s="16">
        <v>-96.559774567239003</v>
      </c>
      <c r="L3405" s="16" t="str">
        <f>HYPERLINK("https://maps.google.com/?q=16.786078928054,-96.559774567239", "🔗 Ver Mapa")</f>
        <v>🔗 Ver Mapa</v>
      </c>
    </row>
    <row r="3406" spans="1:12" ht="43.5" x14ac:dyDescent="0.35">
      <c r="A3406" s="6" t="s">
        <v>4</v>
      </c>
      <c r="B3406" s="6" t="s">
        <v>17</v>
      </c>
      <c r="C3406" s="6" t="s">
        <v>1563</v>
      </c>
      <c r="D3406" s="11" t="s">
        <v>64</v>
      </c>
      <c r="E3406" s="17" t="s">
        <v>75</v>
      </c>
      <c r="F3406" s="17" t="s">
        <v>149</v>
      </c>
      <c r="G3406" s="11" t="s">
        <v>1561</v>
      </c>
      <c r="H3406" s="11" t="s">
        <v>1562</v>
      </c>
      <c r="I3406" s="17" t="s">
        <v>296</v>
      </c>
      <c r="J3406" s="17">
        <v>16.786080918431999</v>
      </c>
      <c r="K3406" s="17">
        <v>-96.577313565919994</v>
      </c>
      <c r="L3406" s="17" t="str">
        <f>HYPERLINK("https://maps.google.com/?q=16.786080918432,-96.57731356592", "🔗 Ver Mapa")</f>
        <v>🔗 Ver Mapa</v>
      </c>
    </row>
    <row r="3407" spans="1:12" ht="43.5" x14ac:dyDescent="0.35">
      <c r="A3407" s="5" t="s">
        <v>4</v>
      </c>
      <c r="B3407" s="5" t="s">
        <v>17</v>
      </c>
      <c r="C3407" s="5" t="s">
        <v>1563</v>
      </c>
      <c r="D3407" s="8" t="s">
        <v>64</v>
      </c>
      <c r="E3407" s="16" t="s">
        <v>75</v>
      </c>
      <c r="F3407" s="16" t="s">
        <v>149</v>
      </c>
      <c r="G3407" s="8" t="s">
        <v>1561</v>
      </c>
      <c r="H3407" s="8" t="s">
        <v>1562</v>
      </c>
      <c r="I3407" s="16" t="s">
        <v>296</v>
      </c>
      <c r="J3407" s="16">
        <v>16.786081921516001</v>
      </c>
      <c r="K3407" s="16">
        <v>-96.559011572825995</v>
      </c>
      <c r="L3407" s="16" t="str">
        <f>HYPERLINK("https://maps.google.com/?q=16.786081921516,-96.559011572826", "🔗 Ver Mapa")</f>
        <v>🔗 Ver Mapa</v>
      </c>
    </row>
    <row r="3408" spans="1:12" ht="43.5" x14ac:dyDescent="0.35">
      <c r="A3408" s="6" t="s">
        <v>4</v>
      </c>
      <c r="B3408" s="6" t="s">
        <v>17</v>
      </c>
      <c r="C3408" s="6" t="s">
        <v>1563</v>
      </c>
      <c r="D3408" s="11" t="s">
        <v>64</v>
      </c>
      <c r="E3408" s="17" t="s">
        <v>75</v>
      </c>
      <c r="F3408" s="17" t="s">
        <v>149</v>
      </c>
      <c r="G3408" s="11" t="s">
        <v>1561</v>
      </c>
      <c r="H3408" s="11" t="s">
        <v>1562</v>
      </c>
      <c r="I3408" s="17" t="s">
        <v>296</v>
      </c>
      <c r="J3408" s="17">
        <v>16.786082927940001</v>
      </c>
      <c r="K3408" s="17">
        <v>-96.560638565725995</v>
      </c>
      <c r="L3408" s="17" t="str">
        <f>HYPERLINK("https://maps.google.com/?q=16.78608292794,-96.560638565726", "🔗 Ver Mapa")</f>
        <v>🔗 Ver Mapa</v>
      </c>
    </row>
    <row r="3409" spans="1:12" ht="43.5" x14ac:dyDescent="0.35">
      <c r="A3409" s="5" t="s">
        <v>4</v>
      </c>
      <c r="B3409" s="5" t="s">
        <v>17</v>
      </c>
      <c r="C3409" s="5" t="s">
        <v>1563</v>
      </c>
      <c r="D3409" s="8" t="s">
        <v>64</v>
      </c>
      <c r="E3409" s="16" t="s">
        <v>75</v>
      </c>
      <c r="F3409" s="16" t="s">
        <v>149</v>
      </c>
      <c r="G3409" s="8" t="s">
        <v>1561</v>
      </c>
      <c r="H3409" s="8" t="s">
        <v>1562</v>
      </c>
      <c r="I3409" s="16" t="s">
        <v>296</v>
      </c>
      <c r="J3409" s="16">
        <v>16.786088927731999</v>
      </c>
      <c r="K3409" s="16">
        <v>-96.557580569834997</v>
      </c>
      <c r="L3409" s="16" t="str">
        <f>HYPERLINK("https://maps.google.com/?q=16.786088927732,-96.557580569835", "🔗 Ver Mapa")</f>
        <v>🔗 Ver Mapa</v>
      </c>
    </row>
    <row r="3410" spans="1:12" ht="43.5" x14ac:dyDescent="0.35">
      <c r="A3410" s="6" t="s">
        <v>4</v>
      </c>
      <c r="B3410" s="6" t="s">
        <v>17</v>
      </c>
      <c r="C3410" s="6" t="s">
        <v>1563</v>
      </c>
      <c r="D3410" s="11" t="s">
        <v>64</v>
      </c>
      <c r="E3410" s="17" t="s">
        <v>75</v>
      </c>
      <c r="F3410" s="17" t="s">
        <v>149</v>
      </c>
      <c r="G3410" s="11" t="s">
        <v>1561</v>
      </c>
      <c r="H3410" s="11" t="s">
        <v>1562</v>
      </c>
      <c r="I3410" s="17" t="s">
        <v>296</v>
      </c>
      <c r="J3410" s="17">
        <v>16.786090923334999</v>
      </c>
      <c r="K3410" s="17">
        <v>-96.577513564297007</v>
      </c>
      <c r="L3410" s="17" t="str">
        <f>HYPERLINK("https://maps.google.com/?q=16.786090923335,-96.577513564297", "🔗 Ver Mapa")</f>
        <v>🔗 Ver Mapa</v>
      </c>
    </row>
    <row r="3411" spans="1:12" ht="43.5" x14ac:dyDescent="0.35">
      <c r="A3411" s="5" t="s">
        <v>4</v>
      </c>
      <c r="B3411" s="5" t="s">
        <v>17</v>
      </c>
      <c r="C3411" s="5" t="s">
        <v>1563</v>
      </c>
      <c r="D3411" s="8" t="s">
        <v>64</v>
      </c>
      <c r="E3411" s="16" t="s">
        <v>75</v>
      </c>
      <c r="F3411" s="16" t="s">
        <v>149</v>
      </c>
      <c r="G3411" s="8" t="s">
        <v>1561</v>
      </c>
      <c r="H3411" s="8" t="s">
        <v>1562</v>
      </c>
      <c r="I3411" s="16" t="s">
        <v>296</v>
      </c>
      <c r="J3411" s="16">
        <v>16.786099279999998</v>
      </c>
      <c r="K3411" s="16">
        <v>-96.578939610000006</v>
      </c>
      <c r="L3411" s="16" t="str">
        <f>HYPERLINK("https://maps.google.com/?q=16.78609928,-96.57893961", "🔗 Ver Mapa")</f>
        <v>🔗 Ver Mapa</v>
      </c>
    </row>
    <row r="3412" spans="1:12" ht="43.5" x14ac:dyDescent="0.35">
      <c r="A3412" s="6" t="s">
        <v>4</v>
      </c>
      <c r="B3412" s="6" t="s">
        <v>17</v>
      </c>
      <c r="C3412" s="6" t="s">
        <v>1563</v>
      </c>
      <c r="D3412" s="11" t="s">
        <v>64</v>
      </c>
      <c r="E3412" s="17" t="s">
        <v>75</v>
      </c>
      <c r="F3412" s="17" t="s">
        <v>149</v>
      </c>
      <c r="G3412" s="11" t="s">
        <v>1561</v>
      </c>
      <c r="H3412" s="11" t="s">
        <v>1562</v>
      </c>
      <c r="I3412" s="17" t="s">
        <v>296</v>
      </c>
      <c r="J3412" s="17">
        <v>16.786102925341002</v>
      </c>
      <c r="K3412" s="17">
        <v>-96.557531574443999</v>
      </c>
      <c r="L3412" s="17" t="str">
        <f>HYPERLINK("https://maps.google.com/?q=16.786102925341,-96.557531574444", "🔗 Ver Mapa")</f>
        <v>🔗 Ver Mapa</v>
      </c>
    </row>
    <row r="3413" spans="1:12" ht="43.5" x14ac:dyDescent="0.35">
      <c r="A3413" s="5" t="s">
        <v>4</v>
      </c>
      <c r="B3413" s="5" t="s">
        <v>17</v>
      </c>
      <c r="C3413" s="5" t="s">
        <v>1563</v>
      </c>
      <c r="D3413" s="8" t="s">
        <v>64</v>
      </c>
      <c r="E3413" s="16" t="s">
        <v>75</v>
      </c>
      <c r="F3413" s="16" t="s">
        <v>149</v>
      </c>
      <c r="G3413" s="8" t="s">
        <v>1561</v>
      </c>
      <c r="H3413" s="8" t="s">
        <v>1562</v>
      </c>
      <c r="I3413" s="16" t="s">
        <v>296</v>
      </c>
      <c r="J3413" s="16">
        <v>16.786109924399</v>
      </c>
      <c r="K3413" s="16">
        <v>-96.559830573640994</v>
      </c>
      <c r="L3413" s="16" t="str">
        <f>HYPERLINK("https://maps.google.com/?q=16.786109924399,-96.559830573641", "🔗 Ver Mapa")</f>
        <v>🔗 Ver Mapa</v>
      </c>
    </row>
    <row r="3414" spans="1:12" ht="43.5" x14ac:dyDescent="0.35">
      <c r="A3414" s="6" t="s">
        <v>4</v>
      </c>
      <c r="B3414" s="6" t="s">
        <v>17</v>
      </c>
      <c r="C3414" s="6" t="s">
        <v>1563</v>
      </c>
      <c r="D3414" s="11" t="s">
        <v>64</v>
      </c>
      <c r="E3414" s="17" t="s">
        <v>75</v>
      </c>
      <c r="F3414" s="17" t="s">
        <v>149</v>
      </c>
      <c r="G3414" s="11" t="s">
        <v>1561</v>
      </c>
      <c r="H3414" s="11" t="s">
        <v>1562</v>
      </c>
      <c r="I3414" s="17" t="s">
        <v>296</v>
      </c>
      <c r="J3414" s="17">
        <v>16.786128928075001</v>
      </c>
      <c r="K3414" s="17">
        <v>-96.557479574927996</v>
      </c>
      <c r="L3414" s="17" t="str">
        <f>HYPERLINK("https://maps.google.com/?q=16.786128928075,-96.557479574928", "🔗 Ver Mapa")</f>
        <v>🔗 Ver Mapa</v>
      </c>
    </row>
    <row r="3415" spans="1:12" ht="43.5" x14ac:dyDescent="0.35">
      <c r="A3415" s="5" t="s">
        <v>4</v>
      </c>
      <c r="B3415" s="5" t="s">
        <v>17</v>
      </c>
      <c r="C3415" s="5" t="s">
        <v>1563</v>
      </c>
      <c r="D3415" s="8" t="s">
        <v>64</v>
      </c>
      <c r="E3415" s="16" t="s">
        <v>75</v>
      </c>
      <c r="F3415" s="16" t="s">
        <v>149</v>
      </c>
      <c r="G3415" s="8" t="s">
        <v>1561</v>
      </c>
      <c r="H3415" s="8" t="s">
        <v>1562</v>
      </c>
      <c r="I3415" s="16" t="s">
        <v>296</v>
      </c>
      <c r="J3415" s="16">
        <v>16.786128928364001</v>
      </c>
      <c r="K3415" s="16">
        <v>-96.559868570098999</v>
      </c>
      <c r="L3415" s="16" t="str">
        <f>HYPERLINK("https://maps.google.com/?q=16.786128928364,-96.559868570099", "🔗 Ver Mapa")</f>
        <v>🔗 Ver Mapa</v>
      </c>
    </row>
    <row r="3416" spans="1:12" ht="43.5" x14ac:dyDescent="0.35">
      <c r="A3416" s="6" t="s">
        <v>4</v>
      </c>
      <c r="B3416" s="6" t="s">
        <v>17</v>
      </c>
      <c r="C3416" s="6" t="s">
        <v>1563</v>
      </c>
      <c r="D3416" s="11" t="s">
        <v>64</v>
      </c>
      <c r="E3416" s="17" t="s">
        <v>75</v>
      </c>
      <c r="F3416" s="17" t="s">
        <v>149</v>
      </c>
      <c r="G3416" s="11" t="s">
        <v>1561</v>
      </c>
      <c r="H3416" s="11" t="s">
        <v>1562</v>
      </c>
      <c r="I3416" s="17" t="s">
        <v>296</v>
      </c>
      <c r="J3416" s="17">
        <v>16.786141917664999</v>
      </c>
      <c r="K3416" s="17">
        <v>-96.577501561887999</v>
      </c>
      <c r="L3416" s="17" t="str">
        <f>HYPERLINK("https://maps.google.com/?q=16.786141917665,-96.577501561888", "🔗 Ver Mapa")</f>
        <v>🔗 Ver Mapa</v>
      </c>
    </row>
    <row r="3417" spans="1:12" ht="43.5" x14ac:dyDescent="0.35">
      <c r="A3417" s="5" t="s">
        <v>4</v>
      </c>
      <c r="B3417" s="5" t="s">
        <v>17</v>
      </c>
      <c r="C3417" s="5" t="s">
        <v>1563</v>
      </c>
      <c r="D3417" s="8" t="s">
        <v>64</v>
      </c>
      <c r="E3417" s="16" t="s">
        <v>75</v>
      </c>
      <c r="F3417" s="16" t="s">
        <v>149</v>
      </c>
      <c r="G3417" s="8" t="s">
        <v>1561</v>
      </c>
      <c r="H3417" s="8" t="s">
        <v>1562</v>
      </c>
      <c r="I3417" s="16" t="s">
        <v>296</v>
      </c>
      <c r="J3417" s="16">
        <v>16.786167928805</v>
      </c>
      <c r="K3417" s="16">
        <v>-96.560520568057996</v>
      </c>
      <c r="L3417" s="16" t="str">
        <f>HYPERLINK("https://maps.google.com/?q=16.786167928805,-96.560520568058", "🔗 Ver Mapa")</f>
        <v>🔗 Ver Mapa</v>
      </c>
    </row>
    <row r="3418" spans="1:12" ht="43.5" x14ac:dyDescent="0.35">
      <c r="A3418" s="6" t="s">
        <v>4</v>
      </c>
      <c r="B3418" s="6" t="s">
        <v>17</v>
      </c>
      <c r="C3418" s="6" t="s">
        <v>1563</v>
      </c>
      <c r="D3418" s="11" t="s">
        <v>64</v>
      </c>
      <c r="E3418" s="17" t="s">
        <v>75</v>
      </c>
      <c r="F3418" s="17" t="s">
        <v>149</v>
      </c>
      <c r="G3418" s="11" t="s">
        <v>1561</v>
      </c>
      <c r="H3418" s="11" t="s">
        <v>1562</v>
      </c>
      <c r="I3418" s="17" t="s">
        <v>296</v>
      </c>
      <c r="J3418" s="17">
        <v>16.786181925662</v>
      </c>
      <c r="K3418" s="17">
        <v>-96.557400571496999</v>
      </c>
      <c r="L3418" s="17" t="str">
        <f>HYPERLINK("https://maps.google.com/?q=16.786181925662,-96.557400571497", "🔗 Ver Mapa")</f>
        <v>🔗 Ver Mapa</v>
      </c>
    </row>
    <row r="3419" spans="1:12" ht="43.5" x14ac:dyDescent="0.35">
      <c r="A3419" s="5" t="s">
        <v>4</v>
      </c>
      <c r="B3419" s="5" t="s">
        <v>17</v>
      </c>
      <c r="C3419" s="5" t="s">
        <v>1563</v>
      </c>
      <c r="D3419" s="8" t="s">
        <v>64</v>
      </c>
      <c r="E3419" s="16" t="s">
        <v>75</v>
      </c>
      <c r="F3419" s="16" t="s">
        <v>149</v>
      </c>
      <c r="G3419" s="8" t="s">
        <v>1561</v>
      </c>
      <c r="H3419" s="8" t="s">
        <v>1562</v>
      </c>
      <c r="I3419" s="16" t="s">
        <v>296</v>
      </c>
      <c r="J3419" s="16">
        <v>16.786188299999999</v>
      </c>
      <c r="K3419" s="16">
        <v>-96.578899050000004</v>
      </c>
      <c r="L3419" s="16" t="str">
        <f>HYPERLINK("https://maps.google.com/?q=16.7861883,-96.57889905", "🔗 Ver Mapa")</f>
        <v>🔗 Ver Mapa</v>
      </c>
    </row>
    <row r="3420" spans="1:12" ht="43.5" x14ac:dyDescent="0.35">
      <c r="A3420" s="6" t="s">
        <v>4</v>
      </c>
      <c r="B3420" s="6" t="s">
        <v>17</v>
      </c>
      <c r="C3420" s="6" t="s">
        <v>1563</v>
      </c>
      <c r="D3420" s="11" t="s">
        <v>64</v>
      </c>
      <c r="E3420" s="17" t="s">
        <v>75</v>
      </c>
      <c r="F3420" s="17" t="s">
        <v>149</v>
      </c>
      <c r="G3420" s="11" t="s">
        <v>1561</v>
      </c>
      <c r="H3420" s="11" t="s">
        <v>1562</v>
      </c>
      <c r="I3420" s="17" t="s">
        <v>296</v>
      </c>
      <c r="J3420" s="17">
        <v>16.786205989999999</v>
      </c>
      <c r="K3420" s="17">
        <v>-96.578941549999996</v>
      </c>
      <c r="L3420" s="17" t="str">
        <f>HYPERLINK("https://maps.google.com/?q=16.78620599,-96.57894155", "🔗 Ver Mapa")</f>
        <v>🔗 Ver Mapa</v>
      </c>
    </row>
    <row r="3421" spans="1:12" ht="43.5" x14ac:dyDescent="0.35">
      <c r="A3421" s="5" t="s">
        <v>4</v>
      </c>
      <c r="B3421" s="5" t="s">
        <v>17</v>
      </c>
      <c r="C3421" s="5" t="s">
        <v>1563</v>
      </c>
      <c r="D3421" s="8" t="s">
        <v>64</v>
      </c>
      <c r="E3421" s="16" t="s">
        <v>75</v>
      </c>
      <c r="F3421" s="16" t="s">
        <v>149</v>
      </c>
      <c r="G3421" s="8" t="s">
        <v>1561</v>
      </c>
      <c r="H3421" s="8" t="s">
        <v>1562</v>
      </c>
      <c r="I3421" s="16" t="s">
        <v>296</v>
      </c>
      <c r="J3421" s="16">
        <v>16.786227920858</v>
      </c>
      <c r="K3421" s="16">
        <v>-96.560432567842994</v>
      </c>
      <c r="L3421" s="16" t="str">
        <f>HYPERLINK("https://maps.google.com/?q=16.786227920858,-96.560432567843", "🔗 Ver Mapa")</f>
        <v>🔗 Ver Mapa</v>
      </c>
    </row>
    <row r="3422" spans="1:12" ht="43.5" x14ac:dyDescent="0.35">
      <c r="A3422" s="6" t="s">
        <v>4</v>
      </c>
      <c r="B3422" s="6" t="s">
        <v>17</v>
      </c>
      <c r="C3422" s="6" t="s">
        <v>1563</v>
      </c>
      <c r="D3422" s="11" t="s">
        <v>64</v>
      </c>
      <c r="E3422" s="17" t="s">
        <v>75</v>
      </c>
      <c r="F3422" s="17" t="s">
        <v>149</v>
      </c>
      <c r="G3422" s="11" t="s">
        <v>1561</v>
      </c>
      <c r="H3422" s="11" t="s">
        <v>1562</v>
      </c>
      <c r="I3422" s="17" t="s">
        <v>296</v>
      </c>
      <c r="J3422" s="17">
        <v>16.786231927235999</v>
      </c>
      <c r="K3422" s="17">
        <v>-96.559979571515996</v>
      </c>
      <c r="L3422" s="17" t="str">
        <f>HYPERLINK("https://maps.google.com/?q=16.786231927236,-96.559979571516", "🔗 Ver Mapa")</f>
        <v>🔗 Ver Mapa</v>
      </c>
    </row>
    <row r="3423" spans="1:12" ht="43.5" x14ac:dyDescent="0.35">
      <c r="A3423" s="5" t="s">
        <v>4</v>
      </c>
      <c r="B3423" s="5" t="s">
        <v>17</v>
      </c>
      <c r="C3423" s="5" t="s">
        <v>1563</v>
      </c>
      <c r="D3423" s="8" t="s">
        <v>64</v>
      </c>
      <c r="E3423" s="16" t="s">
        <v>75</v>
      </c>
      <c r="F3423" s="16" t="s">
        <v>149</v>
      </c>
      <c r="G3423" s="8" t="s">
        <v>1561</v>
      </c>
      <c r="H3423" s="8" t="s">
        <v>1562</v>
      </c>
      <c r="I3423" s="16" t="s">
        <v>296</v>
      </c>
      <c r="J3423" s="16">
        <v>16.786270927208001</v>
      </c>
      <c r="K3423" s="16">
        <v>-96.560000574667995</v>
      </c>
      <c r="L3423" s="16" t="str">
        <f>HYPERLINK("https://maps.google.com/?q=16.786270927208,-96.560000574668", "🔗 Ver Mapa")</f>
        <v>🔗 Ver Mapa</v>
      </c>
    </row>
    <row r="3424" spans="1:12" ht="43.5" x14ac:dyDescent="0.35">
      <c r="A3424" s="6" t="s">
        <v>4</v>
      </c>
      <c r="B3424" s="6" t="s">
        <v>17</v>
      </c>
      <c r="C3424" s="6" t="s">
        <v>1563</v>
      </c>
      <c r="D3424" s="11" t="s">
        <v>64</v>
      </c>
      <c r="E3424" s="17" t="s">
        <v>75</v>
      </c>
      <c r="F3424" s="17" t="s">
        <v>149</v>
      </c>
      <c r="G3424" s="11" t="s">
        <v>1561</v>
      </c>
      <c r="H3424" s="11" t="s">
        <v>1562</v>
      </c>
      <c r="I3424" s="17" t="s">
        <v>296</v>
      </c>
      <c r="J3424" s="17">
        <v>16.786297923597999</v>
      </c>
      <c r="K3424" s="17">
        <v>-96.559999573392005</v>
      </c>
      <c r="L3424" s="17" t="str">
        <f>HYPERLINK("https://maps.google.com/?q=16.786297923598,-96.559999573392", "🔗 Ver Mapa")</f>
        <v>🔗 Ver Mapa</v>
      </c>
    </row>
    <row r="3425" spans="1:12" ht="43.5" x14ac:dyDescent="0.35">
      <c r="A3425" s="5" t="s">
        <v>4</v>
      </c>
      <c r="B3425" s="5" t="s">
        <v>17</v>
      </c>
      <c r="C3425" s="5" t="s">
        <v>1563</v>
      </c>
      <c r="D3425" s="8" t="s">
        <v>64</v>
      </c>
      <c r="E3425" s="16" t="s">
        <v>75</v>
      </c>
      <c r="F3425" s="16" t="s">
        <v>149</v>
      </c>
      <c r="G3425" s="8" t="s">
        <v>1561</v>
      </c>
      <c r="H3425" s="8" t="s">
        <v>1562</v>
      </c>
      <c r="I3425" s="16" t="s">
        <v>296</v>
      </c>
      <c r="J3425" s="16">
        <v>16.786313921819001</v>
      </c>
      <c r="K3425" s="16">
        <v>-96.557148574921996</v>
      </c>
      <c r="L3425" s="16" t="str">
        <f>HYPERLINK("https://maps.google.com/?q=16.786313921819,-96.557148574922", "🔗 Ver Mapa")</f>
        <v>🔗 Ver Mapa</v>
      </c>
    </row>
    <row r="3426" spans="1:12" ht="43.5" x14ac:dyDescent="0.35">
      <c r="A3426" s="6" t="s">
        <v>4</v>
      </c>
      <c r="B3426" s="6" t="s">
        <v>17</v>
      </c>
      <c r="C3426" s="6" t="s">
        <v>1563</v>
      </c>
      <c r="D3426" s="11" t="s">
        <v>64</v>
      </c>
      <c r="E3426" s="17" t="s">
        <v>75</v>
      </c>
      <c r="F3426" s="17" t="s">
        <v>149</v>
      </c>
      <c r="G3426" s="11" t="s">
        <v>1561</v>
      </c>
      <c r="H3426" s="11" t="s">
        <v>1562</v>
      </c>
      <c r="I3426" s="17" t="s">
        <v>296</v>
      </c>
      <c r="J3426" s="17">
        <v>16.786315923234</v>
      </c>
      <c r="K3426" s="17">
        <v>-96.560363573236003</v>
      </c>
      <c r="L3426" s="17" t="str">
        <f>HYPERLINK("https://maps.google.com/?q=16.786315923234,-96.560363573236", "🔗 Ver Mapa")</f>
        <v>🔗 Ver Mapa</v>
      </c>
    </row>
    <row r="3427" spans="1:12" ht="43.5" x14ac:dyDescent="0.35">
      <c r="A3427" s="5" t="s">
        <v>4</v>
      </c>
      <c r="B3427" s="5" t="s">
        <v>17</v>
      </c>
      <c r="C3427" s="5" t="s">
        <v>1563</v>
      </c>
      <c r="D3427" s="8" t="s">
        <v>64</v>
      </c>
      <c r="E3427" s="16" t="s">
        <v>75</v>
      </c>
      <c r="F3427" s="16" t="s">
        <v>149</v>
      </c>
      <c r="G3427" s="8" t="s">
        <v>1561</v>
      </c>
      <c r="H3427" s="8" t="s">
        <v>1562</v>
      </c>
      <c r="I3427" s="16" t="s">
        <v>296</v>
      </c>
      <c r="J3427" s="16">
        <v>16.786332924140002</v>
      </c>
      <c r="K3427" s="16">
        <v>-96.560024565977002</v>
      </c>
      <c r="L3427" s="16" t="str">
        <f>HYPERLINK("https://maps.google.com/?q=16.78633292414,-96.560024565977", "🔗 Ver Mapa")</f>
        <v>🔗 Ver Mapa</v>
      </c>
    </row>
    <row r="3428" spans="1:12" ht="43.5" x14ac:dyDescent="0.35">
      <c r="A3428" s="6" t="s">
        <v>4</v>
      </c>
      <c r="B3428" s="6" t="s">
        <v>17</v>
      </c>
      <c r="C3428" s="6" t="s">
        <v>1563</v>
      </c>
      <c r="D3428" s="11" t="s">
        <v>64</v>
      </c>
      <c r="E3428" s="17" t="s">
        <v>75</v>
      </c>
      <c r="F3428" s="17" t="s">
        <v>149</v>
      </c>
      <c r="G3428" s="11" t="s">
        <v>1561</v>
      </c>
      <c r="H3428" s="11" t="s">
        <v>1562</v>
      </c>
      <c r="I3428" s="17" t="s">
        <v>296</v>
      </c>
      <c r="J3428" s="17">
        <v>16.786339924042998</v>
      </c>
      <c r="K3428" s="17">
        <v>-96.560360566092996</v>
      </c>
      <c r="L3428" s="17" t="str">
        <f>HYPERLINK("https://maps.google.com/?q=16.786339924043,-96.560360566093", "🔗 Ver Mapa")</f>
        <v>🔗 Ver Mapa</v>
      </c>
    </row>
    <row r="3429" spans="1:12" ht="43.5" x14ac:dyDescent="0.35">
      <c r="A3429" s="5" t="s">
        <v>4</v>
      </c>
      <c r="B3429" s="5" t="s">
        <v>17</v>
      </c>
      <c r="C3429" s="5" t="s">
        <v>1563</v>
      </c>
      <c r="D3429" s="8" t="s">
        <v>64</v>
      </c>
      <c r="E3429" s="16" t="s">
        <v>75</v>
      </c>
      <c r="F3429" s="16" t="s">
        <v>149</v>
      </c>
      <c r="G3429" s="8" t="s">
        <v>1561</v>
      </c>
      <c r="H3429" s="8" t="s">
        <v>1562</v>
      </c>
      <c r="I3429" s="16" t="s">
        <v>296</v>
      </c>
      <c r="J3429" s="16">
        <v>16.786364720000002</v>
      </c>
      <c r="K3429" s="16">
        <v>-96.578819890000005</v>
      </c>
      <c r="L3429" s="16" t="str">
        <f>HYPERLINK("https://maps.google.com/?q=16.78636472,-96.57881989", "🔗 Ver Mapa")</f>
        <v>🔗 Ver Mapa</v>
      </c>
    </row>
    <row r="3430" spans="1:12" ht="43.5" x14ac:dyDescent="0.35">
      <c r="A3430" s="6" t="s">
        <v>4</v>
      </c>
      <c r="B3430" s="6" t="s">
        <v>17</v>
      </c>
      <c r="C3430" s="6" t="s">
        <v>1563</v>
      </c>
      <c r="D3430" s="11" t="s">
        <v>64</v>
      </c>
      <c r="E3430" s="17" t="s">
        <v>75</v>
      </c>
      <c r="F3430" s="17" t="s">
        <v>149</v>
      </c>
      <c r="G3430" s="11" t="s">
        <v>1561</v>
      </c>
      <c r="H3430" s="11" t="s">
        <v>1562</v>
      </c>
      <c r="I3430" s="17" t="s">
        <v>296</v>
      </c>
      <c r="J3430" s="17">
        <v>16.786364928750999</v>
      </c>
      <c r="K3430" s="17">
        <v>-96.560050572048993</v>
      </c>
      <c r="L3430" s="17" t="str">
        <f>HYPERLINK("https://maps.google.com/?q=16.786364928751,-96.560050572049", "🔗 Ver Mapa")</f>
        <v>🔗 Ver Mapa</v>
      </c>
    </row>
    <row r="3431" spans="1:12" ht="43.5" x14ac:dyDescent="0.35">
      <c r="A3431" s="5" t="s">
        <v>4</v>
      </c>
      <c r="B3431" s="5" t="s">
        <v>17</v>
      </c>
      <c r="C3431" s="5" t="s">
        <v>1563</v>
      </c>
      <c r="D3431" s="8" t="s">
        <v>64</v>
      </c>
      <c r="E3431" s="16" t="s">
        <v>75</v>
      </c>
      <c r="F3431" s="16" t="s">
        <v>149</v>
      </c>
      <c r="G3431" s="8" t="s">
        <v>1561</v>
      </c>
      <c r="H3431" s="8" t="s">
        <v>1562</v>
      </c>
      <c r="I3431" s="16" t="s">
        <v>296</v>
      </c>
      <c r="J3431" s="16">
        <v>16.786420923609999</v>
      </c>
      <c r="K3431" s="16">
        <v>-96.560303569626996</v>
      </c>
      <c r="L3431" s="16" t="str">
        <f>HYPERLINK("https://maps.google.com/?q=16.78642092361,-96.560303569627", "🔗 Ver Mapa")</f>
        <v>🔗 Ver Mapa</v>
      </c>
    </row>
    <row r="3432" spans="1:12" ht="43.5" x14ac:dyDescent="0.35">
      <c r="A3432" s="6" t="s">
        <v>4</v>
      </c>
      <c r="B3432" s="6" t="s">
        <v>17</v>
      </c>
      <c r="C3432" s="6" t="s">
        <v>1563</v>
      </c>
      <c r="D3432" s="11" t="s">
        <v>64</v>
      </c>
      <c r="E3432" s="17" t="s">
        <v>75</v>
      </c>
      <c r="F3432" s="17" t="s">
        <v>149</v>
      </c>
      <c r="G3432" s="11" t="s">
        <v>1561</v>
      </c>
      <c r="H3432" s="11" t="s">
        <v>1562</v>
      </c>
      <c r="I3432" s="17" t="s">
        <v>296</v>
      </c>
      <c r="J3432" s="17">
        <v>16.786424520000001</v>
      </c>
      <c r="K3432" s="17">
        <v>-96.579763889999995</v>
      </c>
      <c r="L3432" s="17" t="str">
        <f>HYPERLINK("https://maps.google.com/?q=16.78642452,-96.57976389", "🔗 Ver Mapa")</f>
        <v>🔗 Ver Mapa</v>
      </c>
    </row>
    <row r="3433" spans="1:12" ht="43.5" x14ac:dyDescent="0.35">
      <c r="A3433" s="5" t="s">
        <v>4</v>
      </c>
      <c r="B3433" s="5" t="s">
        <v>17</v>
      </c>
      <c r="C3433" s="5" t="s">
        <v>1563</v>
      </c>
      <c r="D3433" s="8" t="s">
        <v>64</v>
      </c>
      <c r="E3433" s="16" t="s">
        <v>75</v>
      </c>
      <c r="F3433" s="16" t="s">
        <v>149</v>
      </c>
      <c r="G3433" s="8" t="s">
        <v>1561</v>
      </c>
      <c r="H3433" s="8" t="s">
        <v>1562</v>
      </c>
      <c r="I3433" s="16" t="s">
        <v>296</v>
      </c>
      <c r="J3433" s="16">
        <v>16.786431929726</v>
      </c>
      <c r="K3433" s="16">
        <v>-96.556942572786994</v>
      </c>
      <c r="L3433" s="16" t="str">
        <f>HYPERLINK("https://maps.google.com/?q=16.786431929726,-96.556942572787", "🔗 Ver Mapa")</f>
        <v>🔗 Ver Mapa</v>
      </c>
    </row>
    <row r="3434" spans="1:12" ht="43.5" x14ac:dyDescent="0.35">
      <c r="A3434" s="6" t="s">
        <v>4</v>
      </c>
      <c r="B3434" s="6" t="s">
        <v>17</v>
      </c>
      <c r="C3434" s="6" t="s">
        <v>1563</v>
      </c>
      <c r="D3434" s="11" t="s">
        <v>64</v>
      </c>
      <c r="E3434" s="17" t="s">
        <v>75</v>
      </c>
      <c r="F3434" s="17" t="s">
        <v>149</v>
      </c>
      <c r="G3434" s="11" t="s">
        <v>1561</v>
      </c>
      <c r="H3434" s="11" t="s">
        <v>1562</v>
      </c>
      <c r="I3434" s="17" t="s">
        <v>296</v>
      </c>
      <c r="J3434" s="17">
        <v>16.786466927795001</v>
      </c>
      <c r="K3434" s="17">
        <v>-96.560066569520998</v>
      </c>
      <c r="L3434" s="17" t="str">
        <f>HYPERLINK("https://maps.google.com/?q=16.786466927795,-96.560066569521", "🔗 Ver Mapa")</f>
        <v>🔗 Ver Mapa</v>
      </c>
    </row>
    <row r="3435" spans="1:12" ht="43.5" x14ac:dyDescent="0.35">
      <c r="A3435" s="5" t="s">
        <v>4</v>
      </c>
      <c r="B3435" s="5" t="s">
        <v>17</v>
      </c>
      <c r="C3435" s="5" t="s">
        <v>1563</v>
      </c>
      <c r="D3435" s="8" t="s">
        <v>64</v>
      </c>
      <c r="E3435" s="16" t="s">
        <v>75</v>
      </c>
      <c r="F3435" s="16" t="s">
        <v>149</v>
      </c>
      <c r="G3435" s="8" t="s">
        <v>1561</v>
      </c>
      <c r="H3435" s="8" t="s">
        <v>1562</v>
      </c>
      <c r="I3435" s="16" t="s">
        <v>296</v>
      </c>
      <c r="J3435" s="16">
        <v>16.786485922505999</v>
      </c>
      <c r="K3435" s="16">
        <v>-96.560248568508001</v>
      </c>
      <c r="L3435" s="16" t="str">
        <f>HYPERLINK("https://maps.google.com/?q=16.786485922506,-96.560248568508", "🔗 Ver Mapa")</f>
        <v>🔗 Ver Mapa</v>
      </c>
    </row>
    <row r="3436" spans="1:12" ht="43.5" x14ac:dyDescent="0.35">
      <c r="A3436" s="6" t="s">
        <v>4</v>
      </c>
      <c r="B3436" s="6" t="s">
        <v>17</v>
      </c>
      <c r="C3436" s="6" t="s">
        <v>1563</v>
      </c>
      <c r="D3436" s="11" t="s">
        <v>64</v>
      </c>
      <c r="E3436" s="17" t="s">
        <v>75</v>
      </c>
      <c r="F3436" s="17" t="s">
        <v>149</v>
      </c>
      <c r="G3436" s="11" t="s">
        <v>1561</v>
      </c>
      <c r="H3436" s="11" t="s">
        <v>1562</v>
      </c>
      <c r="I3436" s="17" t="s">
        <v>296</v>
      </c>
      <c r="J3436" s="17">
        <v>16.786522928779998</v>
      </c>
      <c r="K3436" s="17">
        <v>-96.556860569956001</v>
      </c>
      <c r="L3436" s="17" t="str">
        <f>HYPERLINK("https://maps.google.com/?q=16.78652292878,-96.556860569956", "🔗 Ver Mapa")</f>
        <v>🔗 Ver Mapa</v>
      </c>
    </row>
    <row r="3437" spans="1:12" ht="43.5" x14ac:dyDescent="0.35">
      <c r="A3437" s="5" t="s">
        <v>4</v>
      </c>
      <c r="B3437" s="5" t="s">
        <v>17</v>
      </c>
      <c r="C3437" s="5" t="s">
        <v>1563</v>
      </c>
      <c r="D3437" s="8" t="s">
        <v>64</v>
      </c>
      <c r="E3437" s="16" t="s">
        <v>75</v>
      </c>
      <c r="F3437" s="16" t="s">
        <v>149</v>
      </c>
      <c r="G3437" s="8" t="s">
        <v>1561</v>
      </c>
      <c r="H3437" s="8" t="s">
        <v>1562</v>
      </c>
      <c r="I3437" s="16" t="s">
        <v>296</v>
      </c>
      <c r="J3437" s="16">
        <v>16.786529921718</v>
      </c>
      <c r="K3437" s="16">
        <v>-96.560216574799995</v>
      </c>
      <c r="L3437" s="16" t="str">
        <f>HYPERLINK("https://maps.google.com/?q=16.786529921718,-96.5602165748", "🔗 Ver Mapa")</f>
        <v>🔗 Ver Mapa</v>
      </c>
    </row>
    <row r="3438" spans="1:12" ht="43.5" x14ac:dyDescent="0.35">
      <c r="A3438" s="6" t="s">
        <v>4</v>
      </c>
      <c r="B3438" s="6" t="s">
        <v>17</v>
      </c>
      <c r="C3438" s="6" t="s">
        <v>1563</v>
      </c>
      <c r="D3438" s="11" t="s">
        <v>64</v>
      </c>
      <c r="E3438" s="17" t="s">
        <v>75</v>
      </c>
      <c r="F3438" s="17" t="s">
        <v>149</v>
      </c>
      <c r="G3438" s="11" t="s">
        <v>1561</v>
      </c>
      <c r="H3438" s="11" t="s">
        <v>1562</v>
      </c>
      <c r="I3438" s="17" t="s">
        <v>296</v>
      </c>
      <c r="J3438" s="17">
        <v>16.786555920655001</v>
      </c>
      <c r="K3438" s="17">
        <v>-96.560060565965998</v>
      </c>
      <c r="L3438" s="17" t="str">
        <f>HYPERLINK("https://maps.google.com/?q=16.786555920655,-96.560060565966", "🔗 Ver Mapa")</f>
        <v>🔗 Ver Mapa</v>
      </c>
    </row>
    <row r="3439" spans="1:12" ht="43.5" x14ac:dyDescent="0.35">
      <c r="A3439" s="5" t="s">
        <v>4</v>
      </c>
      <c r="B3439" s="5" t="s">
        <v>17</v>
      </c>
      <c r="C3439" s="5" t="s">
        <v>1563</v>
      </c>
      <c r="D3439" s="8" t="s">
        <v>64</v>
      </c>
      <c r="E3439" s="16" t="s">
        <v>75</v>
      </c>
      <c r="F3439" s="16" t="s">
        <v>149</v>
      </c>
      <c r="G3439" s="8" t="s">
        <v>1561</v>
      </c>
      <c r="H3439" s="8" t="s">
        <v>1562</v>
      </c>
      <c r="I3439" s="16" t="s">
        <v>296</v>
      </c>
      <c r="J3439" s="16">
        <v>16.786557926389001</v>
      </c>
      <c r="K3439" s="16">
        <v>-96.560201570204001</v>
      </c>
      <c r="L3439" s="16" t="str">
        <f>HYPERLINK("https://maps.google.com/?q=16.786557926389,-96.560201570204", "🔗 Ver Mapa")</f>
        <v>🔗 Ver Mapa</v>
      </c>
    </row>
    <row r="3440" spans="1:12" ht="43.5" x14ac:dyDescent="0.35">
      <c r="A3440" s="6" t="s">
        <v>4</v>
      </c>
      <c r="B3440" s="6" t="s">
        <v>17</v>
      </c>
      <c r="C3440" s="6" t="s">
        <v>1563</v>
      </c>
      <c r="D3440" s="11" t="s">
        <v>64</v>
      </c>
      <c r="E3440" s="17" t="s">
        <v>75</v>
      </c>
      <c r="F3440" s="17" t="s">
        <v>149</v>
      </c>
      <c r="G3440" s="11" t="s">
        <v>1561</v>
      </c>
      <c r="H3440" s="11" t="s">
        <v>1562</v>
      </c>
      <c r="I3440" s="17" t="s">
        <v>296</v>
      </c>
      <c r="J3440" s="17">
        <v>16.786624924996001</v>
      </c>
      <c r="K3440" s="17">
        <v>-96.560064569828</v>
      </c>
      <c r="L3440" s="17" t="str">
        <f>HYPERLINK("https://maps.google.com/?q=16.786624924996,-96.560064569828", "🔗 Ver Mapa")</f>
        <v>🔗 Ver Mapa</v>
      </c>
    </row>
    <row r="3441" spans="1:12" ht="43.5" x14ac:dyDescent="0.35">
      <c r="A3441" s="5" t="s">
        <v>4</v>
      </c>
      <c r="B3441" s="5" t="s">
        <v>17</v>
      </c>
      <c r="C3441" s="5" t="s">
        <v>1563</v>
      </c>
      <c r="D3441" s="8" t="s">
        <v>64</v>
      </c>
      <c r="E3441" s="16" t="s">
        <v>75</v>
      </c>
      <c r="F3441" s="16" t="s">
        <v>149</v>
      </c>
      <c r="G3441" s="8" t="s">
        <v>1561</v>
      </c>
      <c r="H3441" s="8" t="s">
        <v>1562</v>
      </c>
      <c r="I3441" s="16" t="s">
        <v>296</v>
      </c>
      <c r="J3441" s="16">
        <v>16.786638928858</v>
      </c>
      <c r="K3441" s="16">
        <v>-96.556841569897003</v>
      </c>
      <c r="L3441" s="16" t="str">
        <f>HYPERLINK("https://maps.google.com/?q=16.786638928858,-96.556841569897", "🔗 Ver Mapa")</f>
        <v>🔗 Ver Mapa</v>
      </c>
    </row>
    <row r="3442" spans="1:12" ht="43.5" x14ac:dyDescent="0.35">
      <c r="A3442" s="6" t="s">
        <v>4</v>
      </c>
      <c r="B3442" s="6" t="s">
        <v>17</v>
      </c>
      <c r="C3442" s="6" t="s">
        <v>1563</v>
      </c>
      <c r="D3442" s="11" t="s">
        <v>64</v>
      </c>
      <c r="E3442" s="17" t="s">
        <v>75</v>
      </c>
      <c r="F3442" s="17" t="s">
        <v>149</v>
      </c>
      <c r="G3442" s="11" t="s">
        <v>1561</v>
      </c>
      <c r="H3442" s="11" t="s">
        <v>1562</v>
      </c>
      <c r="I3442" s="17" t="s">
        <v>296</v>
      </c>
      <c r="J3442" s="17">
        <v>16.78664079</v>
      </c>
      <c r="K3442" s="17">
        <v>-96.579663420000003</v>
      </c>
      <c r="L3442" s="17" t="str">
        <f>HYPERLINK("https://maps.google.com/?q=16.78664079,-96.57966342", "🔗 Ver Mapa")</f>
        <v>🔗 Ver Mapa</v>
      </c>
    </row>
    <row r="3443" spans="1:12" ht="43.5" x14ac:dyDescent="0.35">
      <c r="A3443" s="5" t="s">
        <v>4</v>
      </c>
      <c r="B3443" s="5" t="s">
        <v>17</v>
      </c>
      <c r="C3443" s="5" t="s">
        <v>1563</v>
      </c>
      <c r="D3443" s="8" t="s">
        <v>64</v>
      </c>
      <c r="E3443" s="16" t="s">
        <v>75</v>
      </c>
      <c r="F3443" s="16" t="s">
        <v>149</v>
      </c>
      <c r="G3443" s="8" t="s">
        <v>1561</v>
      </c>
      <c r="H3443" s="8" t="s">
        <v>1562</v>
      </c>
      <c r="I3443" s="16" t="s">
        <v>296</v>
      </c>
      <c r="J3443" s="16">
        <v>16.786647924278</v>
      </c>
      <c r="K3443" s="16">
        <v>-96.560135569257994</v>
      </c>
      <c r="L3443" s="16" t="str">
        <f>HYPERLINK("https://maps.google.com/?q=16.786647924278,-96.560135569258", "🔗 Ver Mapa")</f>
        <v>🔗 Ver Mapa</v>
      </c>
    </row>
    <row r="3444" spans="1:12" ht="43.5" x14ac:dyDescent="0.35">
      <c r="A3444" s="6" t="s">
        <v>4</v>
      </c>
      <c r="B3444" s="6" t="s">
        <v>17</v>
      </c>
      <c r="C3444" s="6" t="s">
        <v>1563</v>
      </c>
      <c r="D3444" s="11" t="s">
        <v>64</v>
      </c>
      <c r="E3444" s="17" t="s">
        <v>75</v>
      </c>
      <c r="F3444" s="17" t="s">
        <v>149</v>
      </c>
      <c r="G3444" s="11" t="s">
        <v>1561</v>
      </c>
      <c r="H3444" s="11" t="s">
        <v>1562</v>
      </c>
      <c r="I3444" s="17" t="s">
        <v>296</v>
      </c>
      <c r="J3444" s="17">
        <v>16.786662929039</v>
      </c>
      <c r="K3444" s="17">
        <v>-96.560097569546997</v>
      </c>
      <c r="L3444" s="17" t="str">
        <f>HYPERLINK("https://maps.google.com/?q=16.786662929039,-96.560097569547", "🔗 Ver Mapa")</f>
        <v>🔗 Ver Mapa</v>
      </c>
    </row>
    <row r="3445" spans="1:12" ht="43.5" x14ac:dyDescent="0.35">
      <c r="A3445" s="5" t="s">
        <v>4</v>
      </c>
      <c r="B3445" s="5" t="s">
        <v>17</v>
      </c>
      <c r="C3445" s="5" t="s">
        <v>1563</v>
      </c>
      <c r="D3445" s="8" t="s">
        <v>64</v>
      </c>
      <c r="E3445" s="16" t="s">
        <v>75</v>
      </c>
      <c r="F3445" s="16" t="s">
        <v>149</v>
      </c>
      <c r="G3445" s="8" t="s">
        <v>1561</v>
      </c>
      <c r="H3445" s="8" t="s">
        <v>1562</v>
      </c>
      <c r="I3445" s="16" t="s">
        <v>296</v>
      </c>
      <c r="J3445" s="16">
        <v>16.786683925194001</v>
      </c>
      <c r="K3445" s="16">
        <v>-96.556750572151998</v>
      </c>
      <c r="L3445" s="16" t="str">
        <f>HYPERLINK("https://maps.google.com/?q=16.786683925194,-96.556750572152", "🔗 Ver Mapa")</f>
        <v>🔗 Ver Mapa</v>
      </c>
    </row>
    <row r="3446" spans="1:12" ht="43.5" x14ac:dyDescent="0.35">
      <c r="A3446" s="6" t="s">
        <v>4</v>
      </c>
      <c r="B3446" s="6" t="s">
        <v>17</v>
      </c>
      <c r="C3446" s="6" t="s">
        <v>1563</v>
      </c>
      <c r="D3446" s="11" t="s">
        <v>64</v>
      </c>
      <c r="E3446" s="17" t="s">
        <v>75</v>
      </c>
      <c r="F3446" s="17" t="s">
        <v>149</v>
      </c>
      <c r="G3446" s="11" t="s">
        <v>1561</v>
      </c>
      <c r="H3446" s="11" t="s">
        <v>1562</v>
      </c>
      <c r="I3446" s="17" t="s">
        <v>296</v>
      </c>
      <c r="J3446" s="17">
        <v>16.786704927852998</v>
      </c>
      <c r="K3446" s="17">
        <v>-96.556655567915996</v>
      </c>
      <c r="L3446" s="17" t="str">
        <f>HYPERLINK("https://maps.google.com/?q=16.786704927853,-96.556655567916", "🔗 Ver Mapa")</f>
        <v>🔗 Ver Mapa</v>
      </c>
    </row>
    <row r="3447" spans="1:12" ht="43.5" x14ac:dyDescent="0.35">
      <c r="A3447" s="5" t="s">
        <v>4</v>
      </c>
      <c r="B3447" s="5" t="s">
        <v>17</v>
      </c>
      <c r="C3447" s="5" t="s">
        <v>1563</v>
      </c>
      <c r="D3447" s="8" t="s">
        <v>64</v>
      </c>
      <c r="E3447" s="16" t="s">
        <v>75</v>
      </c>
      <c r="F3447" s="16" t="s">
        <v>149</v>
      </c>
      <c r="G3447" s="8" t="s">
        <v>1561</v>
      </c>
      <c r="H3447" s="8" t="s">
        <v>1562</v>
      </c>
      <c r="I3447" s="16" t="s">
        <v>296</v>
      </c>
      <c r="J3447" s="16">
        <v>16.786709925141999</v>
      </c>
      <c r="K3447" s="16">
        <v>-96.556713575577007</v>
      </c>
      <c r="L3447" s="16" t="str">
        <f>HYPERLINK("https://maps.google.com/?q=16.786709925142,-96.556713575577", "🔗 Ver Mapa")</f>
        <v>🔗 Ver Mapa</v>
      </c>
    </row>
    <row r="3448" spans="1:12" ht="43.5" x14ac:dyDescent="0.35">
      <c r="A3448" s="6" t="s">
        <v>4</v>
      </c>
      <c r="B3448" s="6" t="s">
        <v>17</v>
      </c>
      <c r="C3448" s="6" t="s">
        <v>1563</v>
      </c>
      <c r="D3448" s="11" t="s">
        <v>64</v>
      </c>
      <c r="E3448" s="17" t="s">
        <v>75</v>
      </c>
      <c r="F3448" s="17" t="s">
        <v>149</v>
      </c>
      <c r="G3448" s="11" t="s">
        <v>1561</v>
      </c>
      <c r="H3448" s="11" t="s">
        <v>1562</v>
      </c>
      <c r="I3448" s="17" t="s">
        <v>296</v>
      </c>
      <c r="J3448" s="17">
        <v>16.786750924949999</v>
      </c>
      <c r="K3448" s="17">
        <v>-96.556557571453993</v>
      </c>
      <c r="L3448" s="17" t="str">
        <f>HYPERLINK("https://maps.google.com/?q=16.78675092495,-96.556557571454", "🔗 Ver Mapa")</f>
        <v>🔗 Ver Mapa</v>
      </c>
    </row>
    <row r="3449" spans="1:12" ht="43.5" x14ac:dyDescent="0.35">
      <c r="A3449" s="5" t="s">
        <v>4</v>
      </c>
      <c r="B3449" s="5" t="s">
        <v>17</v>
      </c>
      <c r="C3449" s="5" t="s">
        <v>1563</v>
      </c>
      <c r="D3449" s="8" t="s">
        <v>64</v>
      </c>
      <c r="E3449" s="16" t="s">
        <v>75</v>
      </c>
      <c r="F3449" s="16" t="s">
        <v>149</v>
      </c>
      <c r="G3449" s="8" t="s">
        <v>1561</v>
      </c>
      <c r="H3449" s="8" t="s">
        <v>1562</v>
      </c>
      <c r="I3449" s="16" t="s">
        <v>296</v>
      </c>
      <c r="J3449" s="16">
        <v>16.786865925888002</v>
      </c>
      <c r="K3449" s="16">
        <v>-96.556447570993996</v>
      </c>
      <c r="L3449" s="16" t="str">
        <f>HYPERLINK("https://maps.google.com/?q=16.786865925888,-96.556447570994", "🔗 Ver Mapa")</f>
        <v>🔗 Ver Mapa</v>
      </c>
    </row>
    <row r="3450" spans="1:12" ht="43.5" x14ac:dyDescent="0.35">
      <c r="A3450" s="6" t="s">
        <v>4</v>
      </c>
      <c r="B3450" s="6" t="s">
        <v>17</v>
      </c>
      <c r="C3450" s="6" t="s">
        <v>1563</v>
      </c>
      <c r="D3450" s="11" t="s">
        <v>64</v>
      </c>
      <c r="E3450" s="17" t="s">
        <v>75</v>
      </c>
      <c r="F3450" s="17" t="s">
        <v>149</v>
      </c>
      <c r="G3450" s="11" t="s">
        <v>1561</v>
      </c>
      <c r="H3450" s="11" t="s">
        <v>1562</v>
      </c>
      <c r="I3450" s="17" t="s">
        <v>296</v>
      </c>
      <c r="J3450" s="17">
        <v>16.786914927824</v>
      </c>
      <c r="K3450" s="17">
        <v>-96.556437576435997</v>
      </c>
      <c r="L3450" s="17" t="str">
        <f>HYPERLINK("https://maps.google.com/?q=16.786914927824,-96.556437576436", "🔗 Ver Mapa")</f>
        <v>🔗 Ver Mapa</v>
      </c>
    </row>
    <row r="3451" spans="1:12" ht="43.5" x14ac:dyDescent="0.35">
      <c r="A3451" s="5" t="s">
        <v>4</v>
      </c>
      <c r="B3451" s="5" t="s">
        <v>17</v>
      </c>
      <c r="C3451" s="5" t="s">
        <v>1563</v>
      </c>
      <c r="D3451" s="8" t="s">
        <v>64</v>
      </c>
      <c r="E3451" s="16" t="s">
        <v>75</v>
      </c>
      <c r="F3451" s="16" t="s">
        <v>149</v>
      </c>
      <c r="G3451" s="8" t="s">
        <v>1561</v>
      </c>
      <c r="H3451" s="8" t="s">
        <v>1562</v>
      </c>
      <c r="I3451" s="16" t="s">
        <v>296</v>
      </c>
      <c r="J3451" s="16">
        <v>16.786928922392999</v>
      </c>
      <c r="K3451" s="16">
        <v>-96.556368570334001</v>
      </c>
      <c r="L3451" s="16" t="str">
        <f>HYPERLINK("https://maps.google.com/?q=16.786928922393,-96.556368570334", "🔗 Ver Mapa")</f>
        <v>🔗 Ver Mapa</v>
      </c>
    </row>
    <row r="3452" spans="1:12" ht="43.5" x14ac:dyDescent="0.35">
      <c r="A3452" s="6" t="s">
        <v>4</v>
      </c>
      <c r="B3452" s="6" t="s">
        <v>17</v>
      </c>
      <c r="C3452" s="6" t="s">
        <v>1563</v>
      </c>
      <c r="D3452" s="11" t="s">
        <v>64</v>
      </c>
      <c r="E3452" s="17" t="s">
        <v>75</v>
      </c>
      <c r="F3452" s="17" t="s">
        <v>149</v>
      </c>
      <c r="G3452" s="11" t="s">
        <v>1561</v>
      </c>
      <c r="H3452" s="11" t="s">
        <v>1562</v>
      </c>
      <c r="I3452" s="17" t="s">
        <v>296</v>
      </c>
      <c r="J3452" s="17">
        <v>16.786960929334999</v>
      </c>
      <c r="K3452" s="17">
        <v>-96.556312574052001</v>
      </c>
      <c r="L3452" s="17" t="str">
        <f>HYPERLINK("https://maps.google.com/?q=16.786960929335,-96.556312574052", "🔗 Ver Mapa")</f>
        <v>🔗 Ver Mapa</v>
      </c>
    </row>
    <row r="3453" spans="1:12" ht="43.5" x14ac:dyDescent="0.35">
      <c r="A3453" s="5" t="s">
        <v>4</v>
      </c>
      <c r="B3453" s="5" t="s">
        <v>17</v>
      </c>
      <c r="C3453" s="5" t="s">
        <v>1563</v>
      </c>
      <c r="D3453" s="8" t="s">
        <v>64</v>
      </c>
      <c r="E3453" s="16" t="s">
        <v>75</v>
      </c>
      <c r="F3453" s="16" t="s">
        <v>149</v>
      </c>
      <c r="G3453" s="8" t="s">
        <v>1561</v>
      </c>
      <c r="H3453" s="8" t="s">
        <v>1562</v>
      </c>
      <c r="I3453" s="16" t="s">
        <v>296</v>
      </c>
      <c r="J3453" s="16">
        <v>16.787071928237001</v>
      </c>
      <c r="K3453" s="16">
        <v>-96.556186571127995</v>
      </c>
      <c r="L3453" s="16" t="str">
        <f>HYPERLINK("https://maps.google.com/?q=16.787071928237,-96.556186571128", "🔗 Ver Mapa")</f>
        <v>🔗 Ver Mapa</v>
      </c>
    </row>
    <row r="3454" spans="1:12" ht="43.5" x14ac:dyDescent="0.35">
      <c r="A3454" s="6" t="s">
        <v>4</v>
      </c>
      <c r="B3454" s="6" t="s">
        <v>17</v>
      </c>
      <c r="C3454" s="6" t="s">
        <v>1563</v>
      </c>
      <c r="D3454" s="11" t="s">
        <v>64</v>
      </c>
      <c r="E3454" s="17" t="s">
        <v>75</v>
      </c>
      <c r="F3454" s="17" t="s">
        <v>149</v>
      </c>
      <c r="G3454" s="11" t="s">
        <v>1561</v>
      </c>
      <c r="H3454" s="11" t="s">
        <v>1562</v>
      </c>
      <c r="I3454" s="17" t="s">
        <v>296</v>
      </c>
      <c r="J3454" s="17">
        <v>16.787160923836002</v>
      </c>
      <c r="K3454" s="17">
        <v>-96.556127576299005</v>
      </c>
      <c r="L3454" s="17" t="str">
        <f>HYPERLINK("https://maps.google.com/?q=16.787160923836,-96.556127576299", "🔗 Ver Mapa")</f>
        <v>🔗 Ver Mapa</v>
      </c>
    </row>
    <row r="3455" spans="1:12" ht="43.5" x14ac:dyDescent="0.35">
      <c r="A3455" s="5" t="s">
        <v>4</v>
      </c>
      <c r="B3455" s="5" t="s">
        <v>17</v>
      </c>
      <c r="C3455" s="5" t="s">
        <v>1563</v>
      </c>
      <c r="D3455" s="8" t="s">
        <v>64</v>
      </c>
      <c r="E3455" s="16" t="s">
        <v>75</v>
      </c>
      <c r="F3455" s="16" t="s">
        <v>149</v>
      </c>
      <c r="G3455" s="8" t="s">
        <v>1561</v>
      </c>
      <c r="H3455" s="8" t="s">
        <v>1562</v>
      </c>
      <c r="I3455" s="16" t="s">
        <v>296</v>
      </c>
      <c r="J3455" s="16">
        <v>16.787337927315001</v>
      </c>
      <c r="K3455" s="16">
        <v>-96.556008567635004</v>
      </c>
      <c r="L3455" s="16" t="str">
        <f>HYPERLINK("https://maps.google.com/?q=16.787337927315,-96.556008567635", "🔗 Ver Mapa")</f>
        <v>🔗 Ver Mapa</v>
      </c>
    </row>
    <row r="3456" spans="1:12" ht="43.5" x14ac:dyDescent="0.35">
      <c r="A3456" s="6" t="s">
        <v>4</v>
      </c>
      <c r="B3456" s="6" t="s">
        <v>17</v>
      </c>
      <c r="C3456" s="6" t="s">
        <v>1563</v>
      </c>
      <c r="D3456" s="11" t="s">
        <v>64</v>
      </c>
      <c r="E3456" s="17" t="s">
        <v>75</v>
      </c>
      <c r="F3456" s="17" t="s">
        <v>149</v>
      </c>
      <c r="G3456" s="11" t="s">
        <v>1561</v>
      </c>
      <c r="H3456" s="11" t="s">
        <v>1562</v>
      </c>
      <c r="I3456" s="17" t="s">
        <v>296</v>
      </c>
      <c r="J3456" s="17">
        <v>16.787518922853</v>
      </c>
      <c r="K3456" s="17">
        <v>-96.555946576116995</v>
      </c>
      <c r="L3456" s="17" t="str">
        <f>HYPERLINK("https://maps.google.com/?q=16.787518922853,-96.555946576117", "🔗 Ver Mapa")</f>
        <v>🔗 Ver Mapa</v>
      </c>
    </row>
    <row r="3457" spans="1:12" ht="43.5" x14ac:dyDescent="0.35">
      <c r="A3457" s="5" t="s">
        <v>4</v>
      </c>
      <c r="B3457" s="5" t="s">
        <v>17</v>
      </c>
      <c r="C3457" s="5" t="s">
        <v>1563</v>
      </c>
      <c r="D3457" s="8" t="s">
        <v>64</v>
      </c>
      <c r="E3457" s="16" t="s">
        <v>75</v>
      </c>
      <c r="F3457" s="16" t="s">
        <v>149</v>
      </c>
      <c r="G3457" s="8" t="s">
        <v>1561</v>
      </c>
      <c r="H3457" s="8" t="s">
        <v>1562</v>
      </c>
      <c r="I3457" s="16" t="s">
        <v>296</v>
      </c>
      <c r="J3457" s="16">
        <v>16.787603926555001</v>
      </c>
      <c r="K3457" s="16">
        <v>-96.555900572382001</v>
      </c>
      <c r="L3457" s="16" t="str">
        <f>HYPERLINK("https://maps.google.com/?q=16.787603926555,-96.555900572382", "🔗 Ver Mapa")</f>
        <v>🔗 Ver Mapa</v>
      </c>
    </row>
    <row r="3458" spans="1:12" ht="43.5" x14ac:dyDescent="0.35">
      <c r="A3458" s="6" t="s">
        <v>4</v>
      </c>
      <c r="B3458" s="6" t="s">
        <v>17</v>
      </c>
      <c r="C3458" s="6" t="s">
        <v>1563</v>
      </c>
      <c r="D3458" s="11" t="s">
        <v>64</v>
      </c>
      <c r="E3458" s="17" t="s">
        <v>75</v>
      </c>
      <c r="F3458" s="17" t="s">
        <v>149</v>
      </c>
      <c r="G3458" s="11" t="s">
        <v>1561</v>
      </c>
      <c r="H3458" s="11" t="s">
        <v>1562</v>
      </c>
      <c r="I3458" s="17" t="s">
        <v>296</v>
      </c>
      <c r="J3458" s="17">
        <v>16.787714927387999</v>
      </c>
      <c r="K3458" s="17">
        <v>-96.555886567841</v>
      </c>
      <c r="L3458" s="17" t="str">
        <f>HYPERLINK("https://maps.google.com/?q=16.787714927388,-96.555886567841", "🔗 Ver Mapa")</f>
        <v>🔗 Ver Mapa</v>
      </c>
    </row>
    <row r="3459" spans="1:12" ht="43.5" x14ac:dyDescent="0.35">
      <c r="A3459" s="5" t="s">
        <v>4</v>
      </c>
      <c r="B3459" s="5" t="s">
        <v>17</v>
      </c>
      <c r="C3459" s="5" t="s">
        <v>1563</v>
      </c>
      <c r="D3459" s="8" t="s">
        <v>64</v>
      </c>
      <c r="E3459" s="16" t="s">
        <v>75</v>
      </c>
      <c r="F3459" s="16" t="s">
        <v>149</v>
      </c>
      <c r="G3459" s="8" t="s">
        <v>1561</v>
      </c>
      <c r="H3459" s="8" t="s">
        <v>1562</v>
      </c>
      <c r="I3459" s="16" t="s">
        <v>296</v>
      </c>
      <c r="J3459" s="16">
        <v>16.787796925231</v>
      </c>
      <c r="K3459" s="16">
        <v>-96.555882574039998</v>
      </c>
      <c r="L3459" s="16" t="str">
        <f>HYPERLINK("https://maps.google.com/?q=16.787796925231,-96.55588257404", "🔗 Ver Mapa")</f>
        <v>🔗 Ver Mapa</v>
      </c>
    </row>
    <row r="3460" spans="1:12" ht="43.5" x14ac:dyDescent="0.35">
      <c r="A3460" s="6" t="s">
        <v>4</v>
      </c>
      <c r="B3460" s="6" t="s">
        <v>17</v>
      </c>
      <c r="C3460" s="6" t="s">
        <v>1563</v>
      </c>
      <c r="D3460" s="11" t="s">
        <v>64</v>
      </c>
      <c r="E3460" s="17" t="s">
        <v>75</v>
      </c>
      <c r="F3460" s="17" t="s">
        <v>149</v>
      </c>
      <c r="G3460" s="11" t="s">
        <v>1561</v>
      </c>
      <c r="H3460" s="11" t="s">
        <v>1562</v>
      </c>
      <c r="I3460" s="17" t="s">
        <v>296</v>
      </c>
      <c r="J3460" s="17">
        <v>16.787842922248998</v>
      </c>
      <c r="K3460" s="17">
        <v>-96.555889571375005</v>
      </c>
      <c r="L3460" s="17" t="str">
        <f>HYPERLINK("https://maps.google.com/?q=16.787842922249,-96.555889571375", "🔗 Ver Mapa")</f>
        <v>🔗 Ver Mapa</v>
      </c>
    </row>
    <row r="3461" spans="1:12" ht="43.5" x14ac:dyDescent="0.35">
      <c r="A3461" s="5" t="s">
        <v>4</v>
      </c>
      <c r="B3461" s="5" t="s">
        <v>17</v>
      </c>
      <c r="C3461" s="5" t="s">
        <v>1563</v>
      </c>
      <c r="D3461" s="8" t="s">
        <v>64</v>
      </c>
      <c r="E3461" s="16" t="s">
        <v>75</v>
      </c>
      <c r="F3461" s="16" t="s">
        <v>149</v>
      </c>
      <c r="G3461" s="8" t="s">
        <v>1561</v>
      </c>
      <c r="H3461" s="8" t="s">
        <v>1562</v>
      </c>
      <c r="I3461" s="16" t="s">
        <v>296</v>
      </c>
      <c r="J3461" s="16">
        <v>16.787867925627999</v>
      </c>
      <c r="K3461" s="16">
        <v>-96.555886569547994</v>
      </c>
      <c r="L3461" s="16" t="str">
        <f>HYPERLINK("https://maps.google.com/?q=16.787867925628,-96.555886569548", "🔗 Ver Mapa")</f>
        <v>🔗 Ver Mapa</v>
      </c>
    </row>
    <row r="3462" spans="1:12" ht="43.5" x14ac:dyDescent="0.35">
      <c r="A3462" s="6" t="s">
        <v>4</v>
      </c>
      <c r="B3462" s="6" t="s">
        <v>17</v>
      </c>
      <c r="C3462" s="6" t="s">
        <v>1563</v>
      </c>
      <c r="D3462" s="11" t="s">
        <v>64</v>
      </c>
      <c r="E3462" s="17" t="s">
        <v>75</v>
      </c>
      <c r="F3462" s="17" t="s">
        <v>149</v>
      </c>
      <c r="G3462" s="11" t="s">
        <v>1561</v>
      </c>
      <c r="H3462" s="11" t="s">
        <v>1562</v>
      </c>
      <c r="I3462" s="17" t="s">
        <v>296</v>
      </c>
      <c r="J3462" s="17">
        <v>16.787971926468</v>
      </c>
      <c r="K3462" s="17">
        <v>-96.555834574426996</v>
      </c>
      <c r="L3462" s="17" t="str">
        <f>HYPERLINK("https://maps.google.com/?q=16.787971926468,-96.555834574427", "🔗 Ver Mapa")</f>
        <v>🔗 Ver Mapa</v>
      </c>
    </row>
    <row r="3463" spans="1:12" ht="43.5" x14ac:dyDescent="0.35">
      <c r="A3463" s="5" t="s">
        <v>4</v>
      </c>
      <c r="B3463" s="5" t="s">
        <v>17</v>
      </c>
      <c r="C3463" s="5" t="s">
        <v>1563</v>
      </c>
      <c r="D3463" s="8" t="s">
        <v>64</v>
      </c>
      <c r="E3463" s="16" t="s">
        <v>75</v>
      </c>
      <c r="F3463" s="16" t="s">
        <v>149</v>
      </c>
      <c r="G3463" s="8" t="s">
        <v>1561</v>
      </c>
      <c r="H3463" s="8" t="s">
        <v>1562</v>
      </c>
      <c r="I3463" s="16" t="s">
        <v>296</v>
      </c>
      <c r="J3463" s="16">
        <v>16.788072923581002</v>
      </c>
      <c r="K3463" s="16">
        <v>-96.555720569851005</v>
      </c>
      <c r="L3463" s="16" t="str">
        <f>HYPERLINK("https://maps.google.com/?q=16.788072923581,-96.555720569851", "🔗 Ver Mapa")</f>
        <v>🔗 Ver Mapa</v>
      </c>
    </row>
    <row r="3464" spans="1:12" ht="43.5" x14ac:dyDescent="0.35">
      <c r="A3464" s="6" t="s">
        <v>4</v>
      </c>
      <c r="B3464" s="6" t="s">
        <v>17</v>
      </c>
      <c r="C3464" s="6" t="s">
        <v>1563</v>
      </c>
      <c r="D3464" s="11" t="s">
        <v>64</v>
      </c>
      <c r="E3464" s="17" t="s">
        <v>75</v>
      </c>
      <c r="F3464" s="17" t="s">
        <v>149</v>
      </c>
      <c r="G3464" s="11" t="s">
        <v>1561</v>
      </c>
      <c r="H3464" s="11" t="s">
        <v>1562</v>
      </c>
      <c r="I3464" s="17" t="s">
        <v>296</v>
      </c>
      <c r="J3464" s="17">
        <v>16.788093925096</v>
      </c>
      <c r="K3464" s="17">
        <v>-96.555647572764002</v>
      </c>
      <c r="L3464" s="17" t="str">
        <f>HYPERLINK("https://maps.google.com/?q=16.788093925096,-96.555647572764", "🔗 Ver Mapa")</f>
        <v>🔗 Ver Mapa</v>
      </c>
    </row>
    <row r="3465" spans="1:12" ht="43.5" x14ac:dyDescent="0.35">
      <c r="A3465" s="5" t="s">
        <v>4</v>
      </c>
      <c r="B3465" s="5" t="s">
        <v>17</v>
      </c>
      <c r="C3465" s="5" t="s">
        <v>1563</v>
      </c>
      <c r="D3465" s="8" t="s">
        <v>64</v>
      </c>
      <c r="E3465" s="16" t="s">
        <v>75</v>
      </c>
      <c r="F3465" s="16" t="s">
        <v>149</v>
      </c>
      <c r="G3465" s="8" t="s">
        <v>1561</v>
      </c>
      <c r="H3465" s="8" t="s">
        <v>1562</v>
      </c>
      <c r="I3465" s="16" t="s">
        <v>296</v>
      </c>
      <c r="J3465" s="16">
        <v>16.788179921969</v>
      </c>
      <c r="K3465" s="16">
        <v>-96.555531575177</v>
      </c>
      <c r="L3465" s="16" t="str">
        <f>HYPERLINK("https://maps.google.com/?q=16.788179921969,-96.555531575177", "🔗 Ver Mapa")</f>
        <v>🔗 Ver Mapa</v>
      </c>
    </row>
    <row r="3466" spans="1:12" ht="43.5" x14ac:dyDescent="0.35">
      <c r="A3466" s="6" t="s">
        <v>4</v>
      </c>
      <c r="B3466" s="6" t="s">
        <v>17</v>
      </c>
      <c r="C3466" s="6" t="s">
        <v>1563</v>
      </c>
      <c r="D3466" s="11" t="s">
        <v>64</v>
      </c>
      <c r="E3466" s="17" t="s">
        <v>75</v>
      </c>
      <c r="F3466" s="17" t="s">
        <v>149</v>
      </c>
      <c r="G3466" s="11" t="s">
        <v>1561</v>
      </c>
      <c r="H3466" s="11" t="s">
        <v>1562</v>
      </c>
      <c r="I3466" s="17" t="s">
        <v>296</v>
      </c>
      <c r="J3466" s="17">
        <v>16.788247924972001</v>
      </c>
      <c r="K3466" s="17">
        <v>-96.555399576168995</v>
      </c>
      <c r="L3466" s="17" t="str">
        <f>HYPERLINK("https://maps.google.com/?q=16.788247924972,-96.555399576169", "🔗 Ver Mapa")</f>
        <v>🔗 Ver Mapa</v>
      </c>
    </row>
    <row r="3467" spans="1:12" ht="43.5" x14ac:dyDescent="0.35">
      <c r="A3467" s="5" t="s">
        <v>4</v>
      </c>
      <c r="B3467" s="5" t="s">
        <v>17</v>
      </c>
      <c r="C3467" s="5" t="s">
        <v>1563</v>
      </c>
      <c r="D3467" s="8" t="s">
        <v>64</v>
      </c>
      <c r="E3467" s="16" t="s">
        <v>75</v>
      </c>
      <c r="F3467" s="16" t="s">
        <v>149</v>
      </c>
      <c r="G3467" s="8" t="s">
        <v>1561</v>
      </c>
      <c r="H3467" s="8" t="s">
        <v>1562</v>
      </c>
      <c r="I3467" s="16" t="s">
        <v>296</v>
      </c>
      <c r="J3467" s="16">
        <v>16.788502929124</v>
      </c>
      <c r="K3467" s="16">
        <v>-96.555227571749995</v>
      </c>
      <c r="L3467" s="16" t="str">
        <f>HYPERLINK("https://maps.google.com/?q=16.788502929124,-96.55522757175", "🔗 Ver Mapa")</f>
        <v>🔗 Ver Mapa</v>
      </c>
    </row>
    <row r="3468" spans="1:12" ht="43.5" x14ac:dyDescent="0.35">
      <c r="A3468" s="6" t="s">
        <v>4</v>
      </c>
      <c r="B3468" s="6" t="s">
        <v>17</v>
      </c>
      <c r="C3468" s="6" t="s">
        <v>1563</v>
      </c>
      <c r="D3468" s="11" t="s">
        <v>64</v>
      </c>
      <c r="E3468" s="17" t="s">
        <v>75</v>
      </c>
      <c r="F3468" s="17" t="s">
        <v>149</v>
      </c>
      <c r="G3468" s="11" t="s">
        <v>1561</v>
      </c>
      <c r="H3468" s="11" t="s">
        <v>1562</v>
      </c>
      <c r="I3468" s="17" t="s">
        <v>296</v>
      </c>
      <c r="J3468" s="17">
        <v>16.788602929581</v>
      </c>
      <c r="K3468" s="17">
        <v>-96.553199573114</v>
      </c>
      <c r="L3468" s="17" t="str">
        <f>HYPERLINK("https://maps.google.com/?q=16.788602929581,-96.553199573114", "🔗 Ver Mapa")</f>
        <v>🔗 Ver Mapa</v>
      </c>
    </row>
    <row r="3469" spans="1:12" ht="43.5" x14ac:dyDescent="0.35">
      <c r="A3469" s="5" t="s">
        <v>4</v>
      </c>
      <c r="B3469" s="5" t="s">
        <v>17</v>
      </c>
      <c r="C3469" s="5" t="s">
        <v>1563</v>
      </c>
      <c r="D3469" s="8" t="s">
        <v>64</v>
      </c>
      <c r="E3469" s="16" t="s">
        <v>75</v>
      </c>
      <c r="F3469" s="16" t="s">
        <v>149</v>
      </c>
      <c r="G3469" s="8" t="s">
        <v>1561</v>
      </c>
      <c r="H3469" s="8" t="s">
        <v>1562</v>
      </c>
      <c r="I3469" s="16" t="s">
        <v>296</v>
      </c>
      <c r="J3469" s="16">
        <v>16.788603923922</v>
      </c>
      <c r="K3469" s="16">
        <v>-96.552861574176006</v>
      </c>
      <c r="L3469" s="16" t="str">
        <f>HYPERLINK("https://maps.google.com/?q=16.788603923922,-96.552861574176", "🔗 Ver Mapa")</f>
        <v>🔗 Ver Mapa</v>
      </c>
    </row>
    <row r="3470" spans="1:12" ht="43.5" x14ac:dyDescent="0.35">
      <c r="A3470" s="6" t="s">
        <v>4</v>
      </c>
      <c r="B3470" s="6" t="s">
        <v>17</v>
      </c>
      <c r="C3470" s="6" t="s">
        <v>1563</v>
      </c>
      <c r="D3470" s="11" t="s">
        <v>64</v>
      </c>
      <c r="E3470" s="17" t="s">
        <v>75</v>
      </c>
      <c r="F3470" s="17" t="s">
        <v>149</v>
      </c>
      <c r="G3470" s="11" t="s">
        <v>1561</v>
      </c>
      <c r="H3470" s="11" t="s">
        <v>1562</v>
      </c>
      <c r="I3470" s="17" t="s">
        <v>296</v>
      </c>
      <c r="J3470" s="17">
        <v>16.788605927300999</v>
      </c>
      <c r="K3470" s="17">
        <v>-96.552952571470001</v>
      </c>
      <c r="L3470" s="17" t="str">
        <f>HYPERLINK("https://maps.google.com/?q=16.788605927301,-96.55295257147", "🔗 Ver Mapa")</f>
        <v>🔗 Ver Mapa</v>
      </c>
    </row>
    <row r="3471" spans="1:12" ht="43.5" x14ac:dyDescent="0.35">
      <c r="A3471" s="5" t="s">
        <v>4</v>
      </c>
      <c r="B3471" s="5" t="s">
        <v>17</v>
      </c>
      <c r="C3471" s="5" t="s">
        <v>1563</v>
      </c>
      <c r="D3471" s="8" t="s">
        <v>64</v>
      </c>
      <c r="E3471" s="16" t="s">
        <v>75</v>
      </c>
      <c r="F3471" s="16" t="s">
        <v>149</v>
      </c>
      <c r="G3471" s="8" t="s">
        <v>1561</v>
      </c>
      <c r="H3471" s="8" t="s">
        <v>1562</v>
      </c>
      <c r="I3471" s="16" t="s">
        <v>296</v>
      </c>
      <c r="J3471" s="16">
        <v>16.788617926823999</v>
      </c>
      <c r="K3471" s="16">
        <v>-96.552729572249007</v>
      </c>
      <c r="L3471" s="16" t="str">
        <f>HYPERLINK("https://maps.google.com/?q=16.788617926824,-96.552729572249", "🔗 Ver Mapa")</f>
        <v>🔗 Ver Mapa</v>
      </c>
    </row>
    <row r="3472" spans="1:12" ht="43.5" x14ac:dyDescent="0.35">
      <c r="A3472" s="6" t="s">
        <v>4</v>
      </c>
      <c r="B3472" s="6" t="s">
        <v>17</v>
      </c>
      <c r="C3472" s="6" t="s">
        <v>1563</v>
      </c>
      <c r="D3472" s="11" t="s">
        <v>64</v>
      </c>
      <c r="E3472" s="17" t="s">
        <v>75</v>
      </c>
      <c r="F3472" s="17" t="s">
        <v>149</v>
      </c>
      <c r="G3472" s="11" t="s">
        <v>1561</v>
      </c>
      <c r="H3472" s="11" t="s">
        <v>1562</v>
      </c>
      <c r="I3472" s="17" t="s">
        <v>296</v>
      </c>
      <c r="J3472" s="17">
        <v>16.788643922957</v>
      </c>
      <c r="K3472" s="17">
        <v>-96.552091572045995</v>
      </c>
      <c r="L3472" s="17" t="str">
        <f>HYPERLINK("https://maps.google.com/?q=16.788643922957,-96.552091572046", "🔗 Ver Mapa")</f>
        <v>🔗 Ver Mapa</v>
      </c>
    </row>
    <row r="3473" spans="1:12" ht="43.5" x14ac:dyDescent="0.35">
      <c r="A3473" s="5" t="s">
        <v>4</v>
      </c>
      <c r="B3473" s="5" t="s">
        <v>17</v>
      </c>
      <c r="C3473" s="5" t="s">
        <v>1563</v>
      </c>
      <c r="D3473" s="8" t="s">
        <v>64</v>
      </c>
      <c r="E3473" s="16" t="s">
        <v>75</v>
      </c>
      <c r="F3473" s="16" t="s">
        <v>149</v>
      </c>
      <c r="G3473" s="8" t="s">
        <v>1561</v>
      </c>
      <c r="H3473" s="8" t="s">
        <v>1562</v>
      </c>
      <c r="I3473" s="16" t="s">
        <v>296</v>
      </c>
      <c r="J3473" s="16">
        <v>16.788648923250999</v>
      </c>
      <c r="K3473" s="16">
        <v>-96.553091569722</v>
      </c>
      <c r="L3473" s="16" t="str">
        <f>HYPERLINK("https://maps.google.com/?q=16.788648923251,-96.553091569722", "🔗 Ver Mapa")</f>
        <v>🔗 Ver Mapa</v>
      </c>
    </row>
    <row r="3474" spans="1:12" ht="43.5" x14ac:dyDescent="0.35">
      <c r="A3474" s="6" t="s">
        <v>4</v>
      </c>
      <c r="B3474" s="6" t="s">
        <v>17</v>
      </c>
      <c r="C3474" s="6" t="s">
        <v>1563</v>
      </c>
      <c r="D3474" s="11" t="s">
        <v>64</v>
      </c>
      <c r="E3474" s="17" t="s">
        <v>75</v>
      </c>
      <c r="F3474" s="17" t="s">
        <v>149</v>
      </c>
      <c r="G3474" s="11" t="s">
        <v>1561</v>
      </c>
      <c r="H3474" s="11" t="s">
        <v>1562</v>
      </c>
      <c r="I3474" s="17" t="s">
        <v>296</v>
      </c>
      <c r="J3474" s="17">
        <v>16.788651927073001</v>
      </c>
      <c r="K3474" s="17">
        <v>-96.553235572063997</v>
      </c>
      <c r="L3474" s="17" t="str">
        <f>HYPERLINK("https://maps.google.com/?q=16.788651927073,-96.553235572064", "🔗 Ver Mapa")</f>
        <v>🔗 Ver Mapa</v>
      </c>
    </row>
    <row r="3475" spans="1:12" ht="43.5" x14ac:dyDescent="0.35">
      <c r="A3475" s="5" t="s">
        <v>4</v>
      </c>
      <c r="B3475" s="5" t="s">
        <v>17</v>
      </c>
      <c r="C3475" s="5" t="s">
        <v>1563</v>
      </c>
      <c r="D3475" s="8" t="s">
        <v>64</v>
      </c>
      <c r="E3475" s="16" t="s">
        <v>75</v>
      </c>
      <c r="F3475" s="16" t="s">
        <v>149</v>
      </c>
      <c r="G3475" s="8" t="s">
        <v>1561</v>
      </c>
      <c r="H3475" s="8" t="s">
        <v>1562</v>
      </c>
      <c r="I3475" s="16" t="s">
        <v>296</v>
      </c>
      <c r="J3475" s="16">
        <v>16.788655930371</v>
      </c>
      <c r="K3475" s="16">
        <v>-96.552234577427996</v>
      </c>
      <c r="L3475" s="16" t="str">
        <f>HYPERLINK("https://maps.google.com/?q=16.788655930371,-96.552234577428", "🔗 Ver Mapa")</f>
        <v>🔗 Ver Mapa</v>
      </c>
    </row>
    <row r="3476" spans="1:12" ht="43.5" x14ac:dyDescent="0.35">
      <c r="A3476" s="6" t="s">
        <v>4</v>
      </c>
      <c r="B3476" s="6" t="s">
        <v>17</v>
      </c>
      <c r="C3476" s="6" t="s">
        <v>1563</v>
      </c>
      <c r="D3476" s="11" t="s">
        <v>64</v>
      </c>
      <c r="E3476" s="17" t="s">
        <v>75</v>
      </c>
      <c r="F3476" s="17" t="s">
        <v>149</v>
      </c>
      <c r="G3476" s="11" t="s">
        <v>1561</v>
      </c>
      <c r="H3476" s="11" t="s">
        <v>1562</v>
      </c>
      <c r="I3476" s="17" t="s">
        <v>296</v>
      </c>
      <c r="J3476" s="17">
        <v>16.788656923223002</v>
      </c>
      <c r="K3476" s="17">
        <v>-96.553131572848002</v>
      </c>
      <c r="L3476" s="17" t="str">
        <f>HYPERLINK("https://maps.google.com/?q=16.788656923223,-96.553131572848", "🔗 Ver Mapa")</f>
        <v>🔗 Ver Mapa</v>
      </c>
    </row>
    <row r="3477" spans="1:12" ht="43.5" x14ac:dyDescent="0.35">
      <c r="A3477" s="5" t="s">
        <v>4</v>
      </c>
      <c r="B3477" s="5" t="s">
        <v>17</v>
      </c>
      <c r="C3477" s="5" t="s">
        <v>1563</v>
      </c>
      <c r="D3477" s="8" t="s">
        <v>64</v>
      </c>
      <c r="E3477" s="16" t="s">
        <v>75</v>
      </c>
      <c r="F3477" s="16" t="s">
        <v>149</v>
      </c>
      <c r="G3477" s="8" t="s">
        <v>1561</v>
      </c>
      <c r="H3477" s="8" t="s">
        <v>1562</v>
      </c>
      <c r="I3477" s="16" t="s">
        <v>296</v>
      </c>
      <c r="J3477" s="16">
        <v>16.78865893019</v>
      </c>
      <c r="K3477" s="16">
        <v>-96.552348573196994</v>
      </c>
      <c r="L3477" s="16" t="str">
        <f>HYPERLINK("https://maps.google.com/?q=16.78865893019,-96.552348573197", "🔗 Ver Mapa")</f>
        <v>🔗 Ver Mapa</v>
      </c>
    </row>
    <row r="3478" spans="1:12" ht="43.5" x14ac:dyDescent="0.35">
      <c r="A3478" s="6" t="s">
        <v>4</v>
      </c>
      <c r="B3478" s="6" t="s">
        <v>17</v>
      </c>
      <c r="C3478" s="6" t="s">
        <v>1563</v>
      </c>
      <c r="D3478" s="11" t="s">
        <v>64</v>
      </c>
      <c r="E3478" s="17" t="s">
        <v>75</v>
      </c>
      <c r="F3478" s="17" t="s">
        <v>149</v>
      </c>
      <c r="G3478" s="11" t="s">
        <v>1561</v>
      </c>
      <c r="H3478" s="11" t="s">
        <v>1562</v>
      </c>
      <c r="I3478" s="17" t="s">
        <v>296</v>
      </c>
      <c r="J3478" s="17">
        <v>16.788659927318999</v>
      </c>
      <c r="K3478" s="17">
        <v>-96.552485577780004</v>
      </c>
      <c r="L3478" s="17" t="str">
        <f>HYPERLINK("https://maps.google.com/?q=16.788659927319,-96.55248557778", "🔗 Ver Mapa")</f>
        <v>🔗 Ver Mapa</v>
      </c>
    </row>
    <row r="3479" spans="1:12" ht="43.5" x14ac:dyDescent="0.35">
      <c r="A3479" s="5" t="s">
        <v>4</v>
      </c>
      <c r="B3479" s="5" t="s">
        <v>17</v>
      </c>
      <c r="C3479" s="5" t="s">
        <v>1563</v>
      </c>
      <c r="D3479" s="8" t="s">
        <v>64</v>
      </c>
      <c r="E3479" s="16" t="s">
        <v>75</v>
      </c>
      <c r="F3479" s="16" t="s">
        <v>149</v>
      </c>
      <c r="G3479" s="8" t="s">
        <v>1561</v>
      </c>
      <c r="H3479" s="8" t="s">
        <v>1562</v>
      </c>
      <c r="I3479" s="16" t="s">
        <v>296</v>
      </c>
      <c r="J3479" s="16">
        <v>16.788659929881</v>
      </c>
      <c r="K3479" s="16">
        <v>-96.555202569239995</v>
      </c>
      <c r="L3479" s="16" t="str">
        <f>HYPERLINK("https://maps.google.com/?q=16.788659929881,-96.55520256924", "🔗 Ver Mapa")</f>
        <v>🔗 Ver Mapa</v>
      </c>
    </row>
    <row r="3480" spans="1:12" ht="43.5" x14ac:dyDescent="0.35">
      <c r="A3480" s="6" t="s">
        <v>4</v>
      </c>
      <c r="B3480" s="6" t="s">
        <v>17</v>
      </c>
      <c r="C3480" s="6" t="s">
        <v>1563</v>
      </c>
      <c r="D3480" s="11" t="s">
        <v>64</v>
      </c>
      <c r="E3480" s="17" t="s">
        <v>75</v>
      </c>
      <c r="F3480" s="17" t="s">
        <v>149</v>
      </c>
      <c r="G3480" s="11" t="s">
        <v>1561</v>
      </c>
      <c r="H3480" s="11" t="s">
        <v>1562</v>
      </c>
      <c r="I3480" s="17" t="s">
        <v>296</v>
      </c>
      <c r="J3480" s="17">
        <v>16.788664925068002</v>
      </c>
      <c r="K3480" s="17">
        <v>-96.552587573481006</v>
      </c>
      <c r="L3480" s="17" t="str">
        <f>HYPERLINK("https://maps.google.com/?q=16.788664925068,-96.552587573481", "🔗 Ver Mapa")</f>
        <v>🔗 Ver Mapa</v>
      </c>
    </row>
    <row r="3481" spans="1:12" ht="43.5" x14ac:dyDescent="0.35">
      <c r="A3481" s="5" t="s">
        <v>4</v>
      </c>
      <c r="B3481" s="5" t="s">
        <v>17</v>
      </c>
      <c r="C3481" s="5" t="s">
        <v>1563</v>
      </c>
      <c r="D3481" s="8" t="s">
        <v>64</v>
      </c>
      <c r="E3481" s="16" t="s">
        <v>75</v>
      </c>
      <c r="F3481" s="16" t="s">
        <v>149</v>
      </c>
      <c r="G3481" s="8" t="s">
        <v>1561</v>
      </c>
      <c r="H3481" s="8" t="s">
        <v>1562</v>
      </c>
      <c r="I3481" s="16" t="s">
        <v>296</v>
      </c>
      <c r="J3481" s="16">
        <v>16.788710925757002</v>
      </c>
      <c r="K3481" s="16">
        <v>-96.553259571544004</v>
      </c>
      <c r="L3481" s="16" t="str">
        <f>HYPERLINK("https://maps.google.com/?q=16.788710925757,-96.553259571544", "🔗 Ver Mapa")</f>
        <v>🔗 Ver Mapa</v>
      </c>
    </row>
    <row r="3482" spans="1:12" ht="43.5" x14ac:dyDescent="0.35">
      <c r="A3482" s="6" t="s">
        <v>4</v>
      </c>
      <c r="B3482" s="6" t="s">
        <v>17</v>
      </c>
      <c r="C3482" s="6" t="s">
        <v>1563</v>
      </c>
      <c r="D3482" s="11" t="s">
        <v>64</v>
      </c>
      <c r="E3482" s="17" t="s">
        <v>75</v>
      </c>
      <c r="F3482" s="17" t="s">
        <v>149</v>
      </c>
      <c r="G3482" s="11" t="s">
        <v>1561</v>
      </c>
      <c r="H3482" s="11" t="s">
        <v>1562</v>
      </c>
      <c r="I3482" s="17" t="s">
        <v>296</v>
      </c>
      <c r="J3482" s="17">
        <v>16.788718931355</v>
      </c>
      <c r="K3482" s="17">
        <v>-96.551848570269996</v>
      </c>
      <c r="L3482" s="17" t="str">
        <f>HYPERLINK("https://maps.google.com/?q=16.788718931355,-96.55184857027", "🔗 Ver Mapa")</f>
        <v>🔗 Ver Mapa</v>
      </c>
    </row>
    <row r="3483" spans="1:12" ht="43.5" x14ac:dyDescent="0.35">
      <c r="A3483" s="5" t="s">
        <v>4</v>
      </c>
      <c r="B3483" s="5" t="s">
        <v>17</v>
      </c>
      <c r="C3483" s="5" t="s">
        <v>1563</v>
      </c>
      <c r="D3483" s="8" t="s">
        <v>64</v>
      </c>
      <c r="E3483" s="16" t="s">
        <v>75</v>
      </c>
      <c r="F3483" s="16" t="s">
        <v>149</v>
      </c>
      <c r="G3483" s="8" t="s">
        <v>1561</v>
      </c>
      <c r="H3483" s="8" t="s">
        <v>1562</v>
      </c>
      <c r="I3483" s="16" t="s">
        <v>296</v>
      </c>
      <c r="J3483" s="16">
        <v>16.788732930721999</v>
      </c>
      <c r="K3483" s="16">
        <v>-96.553408572281995</v>
      </c>
      <c r="L3483" s="16" t="str">
        <f>HYPERLINK("https://maps.google.com/?q=16.788732930722,-96.553408572282", "🔗 Ver Mapa")</f>
        <v>🔗 Ver Mapa</v>
      </c>
    </row>
    <row r="3484" spans="1:12" ht="43.5" x14ac:dyDescent="0.35">
      <c r="A3484" s="6" t="s">
        <v>4</v>
      </c>
      <c r="B3484" s="6" t="s">
        <v>17</v>
      </c>
      <c r="C3484" s="6" t="s">
        <v>1563</v>
      </c>
      <c r="D3484" s="11" t="s">
        <v>64</v>
      </c>
      <c r="E3484" s="17" t="s">
        <v>75</v>
      </c>
      <c r="F3484" s="17" t="s">
        <v>149</v>
      </c>
      <c r="G3484" s="11" t="s">
        <v>1561</v>
      </c>
      <c r="H3484" s="11" t="s">
        <v>1562</v>
      </c>
      <c r="I3484" s="17" t="s">
        <v>296</v>
      </c>
      <c r="J3484" s="17">
        <v>16.788739929438002</v>
      </c>
      <c r="K3484" s="17">
        <v>-96.551604572952996</v>
      </c>
      <c r="L3484" s="17" t="str">
        <f>HYPERLINK("https://maps.google.com/?q=16.788739929438,-96.551604572953", "🔗 Ver Mapa")</f>
        <v>🔗 Ver Mapa</v>
      </c>
    </row>
    <row r="3485" spans="1:12" ht="43.5" x14ac:dyDescent="0.35">
      <c r="A3485" s="5" t="s">
        <v>4</v>
      </c>
      <c r="B3485" s="5" t="s">
        <v>17</v>
      </c>
      <c r="C3485" s="5" t="s">
        <v>1563</v>
      </c>
      <c r="D3485" s="8" t="s">
        <v>64</v>
      </c>
      <c r="E3485" s="16" t="s">
        <v>75</v>
      </c>
      <c r="F3485" s="16" t="s">
        <v>149</v>
      </c>
      <c r="G3485" s="8" t="s">
        <v>1561</v>
      </c>
      <c r="H3485" s="8" t="s">
        <v>1562</v>
      </c>
      <c r="I3485" s="16" t="s">
        <v>296</v>
      </c>
      <c r="J3485" s="16">
        <v>16.78879392648</v>
      </c>
      <c r="K3485" s="16">
        <v>-96.555070568792004</v>
      </c>
      <c r="L3485" s="16" t="str">
        <f>HYPERLINK("https://maps.google.com/?q=16.78879392648,-96.555070568792", "🔗 Ver Mapa")</f>
        <v>🔗 Ver Mapa</v>
      </c>
    </row>
    <row r="3486" spans="1:12" ht="43.5" x14ac:dyDescent="0.35">
      <c r="A3486" s="6" t="s">
        <v>4</v>
      </c>
      <c r="B3486" s="6" t="s">
        <v>17</v>
      </c>
      <c r="C3486" s="6" t="s">
        <v>1563</v>
      </c>
      <c r="D3486" s="11" t="s">
        <v>64</v>
      </c>
      <c r="E3486" s="17" t="s">
        <v>75</v>
      </c>
      <c r="F3486" s="17" t="s">
        <v>149</v>
      </c>
      <c r="G3486" s="11" t="s">
        <v>1561</v>
      </c>
      <c r="H3486" s="11" t="s">
        <v>1562</v>
      </c>
      <c r="I3486" s="17" t="s">
        <v>296</v>
      </c>
      <c r="J3486" s="17">
        <v>16.788811927803</v>
      </c>
      <c r="K3486" s="17">
        <v>-96.553511570498998</v>
      </c>
      <c r="L3486" s="17" t="str">
        <f>HYPERLINK("https://maps.google.com/?q=16.788811927803,-96.553511570499", "🔗 Ver Mapa")</f>
        <v>🔗 Ver Mapa</v>
      </c>
    </row>
    <row r="3487" spans="1:12" ht="43.5" x14ac:dyDescent="0.35">
      <c r="A3487" s="5" t="s">
        <v>4</v>
      </c>
      <c r="B3487" s="5" t="s">
        <v>17</v>
      </c>
      <c r="C3487" s="5" t="s">
        <v>1563</v>
      </c>
      <c r="D3487" s="8" t="s">
        <v>64</v>
      </c>
      <c r="E3487" s="16" t="s">
        <v>75</v>
      </c>
      <c r="F3487" s="16" t="s">
        <v>149</v>
      </c>
      <c r="G3487" s="8" t="s">
        <v>1561</v>
      </c>
      <c r="H3487" s="8" t="s">
        <v>1562</v>
      </c>
      <c r="I3487" s="16" t="s">
        <v>296</v>
      </c>
      <c r="J3487" s="16">
        <v>16.788827927208999</v>
      </c>
      <c r="K3487" s="16">
        <v>-96.551418576223</v>
      </c>
      <c r="L3487" s="16" t="str">
        <f>HYPERLINK("https://maps.google.com/?q=16.788827927209,-96.551418576223", "🔗 Ver Mapa")</f>
        <v>🔗 Ver Mapa</v>
      </c>
    </row>
    <row r="3488" spans="1:12" ht="43.5" x14ac:dyDescent="0.35">
      <c r="A3488" s="6" t="s">
        <v>4</v>
      </c>
      <c r="B3488" s="6" t="s">
        <v>17</v>
      </c>
      <c r="C3488" s="6" t="s">
        <v>1563</v>
      </c>
      <c r="D3488" s="11" t="s">
        <v>64</v>
      </c>
      <c r="E3488" s="17" t="s">
        <v>75</v>
      </c>
      <c r="F3488" s="17" t="s">
        <v>149</v>
      </c>
      <c r="G3488" s="11" t="s">
        <v>1561</v>
      </c>
      <c r="H3488" s="11" t="s">
        <v>1562</v>
      </c>
      <c r="I3488" s="17" t="s">
        <v>296</v>
      </c>
      <c r="J3488" s="17">
        <v>16.788896923936001</v>
      </c>
      <c r="K3488" s="17">
        <v>-96.553548571202001</v>
      </c>
      <c r="L3488" s="17" t="str">
        <f>HYPERLINK("https://maps.google.com/?q=16.788896923936,-96.553548571202", "🔗 Ver Mapa")</f>
        <v>🔗 Ver Mapa</v>
      </c>
    </row>
    <row r="3489" spans="1:12" ht="43.5" x14ac:dyDescent="0.35">
      <c r="A3489" s="5" t="s">
        <v>4</v>
      </c>
      <c r="B3489" s="5" t="s">
        <v>17</v>
      </c>
      <c r="C3489" s="5" t="s">
        <v>1563</v>
      </c>
      <c r="D3489" s="8" t="s">
        <v>64</v>
      </c>
      <c r="E3489" s="16" t="s">
        <v>75</v>
      </c>
      <c r="F3489" s="16" t="s">
        <v>149</v>
      </c>
      <c r="G3489" s="8" t="s">
        <v>1561</v>
      </c>
      <c r="H3489" s="8" t="s">
        <v>1562</v>
      </c>
      <c r="I3489" s="16" t="s">
        <v>296</v>
      </c>
      <c r="J3489" s="16">
        <v>16.788896928259</v>
      </c>
      <c r="K3489" s="16">
        <v>-96.554994571042002</v>
      </c>
      <c r="L3489" s="16" t="str">
        <f>HYPERLINK("https://maps.google.com/?q=16.788896928259,-96.554994571042", "🔗 Ver Mapa")</f>
        <v>🔗 Ver Mapa</v>
      </c>
    </row>
    <row r="3490" spans="1:12" ht="43.5" x14ac:dyDescent="0.35">
      <c r="A3490" s="6" t="s">
        <v>4</v>
      </c>
      <c r="B3490" s="6" t="s">
        <v>17</v>
      </c>
      <c r="C3490" s="6" t="s">
        <v>1563</v>
      </c>
      <c r="D3490" s="11" t="s">
        <v>64</v>
      </c>
      <c r="E3490" s="17" t="s">
        <v>75</v>
      </c>
      <c r="F3490" s="17" t="s">
        <v>149</v>
      </c>
      <c r="G3490" s="11" t="s">
        <v>1561</v>
      </c>
      <c r="H3490" s="11" t="s">
        <v>1562</v>
      </c>
      <c r="I3490" s="17" t="s">
        <v>296</v>
      </c>
      <c r="J3490" s="17">
        <v>16.788951927866002</v>
      </c>
      <c r="K3490" s="17">
        <v>-96.551389577107997</v>
      </c>
      <c r="L3490" s="17" t="str">
        <f>HYPERLINK("https://maps.google.com/?q=16.788951927866,-96.551389577108", "🔗 Ver Mapa")</f>
        <v>🔗 Ver Mapa</v>
      </c>
    </row>
    <row r="3491" spans="1:12" ht="43.5" x14ac:dyDescent="0.35">
      <c r="A3491" s="5" t="s">
        <v>4</v>
      </c>
      <c r="B3491" s="5" t="s">
        <v>17</v>
      </c>
      <c r="C3491" s="5" t="s">
        <v>1563</v>
      </c>
      <c r="D3491" s="8" t="s">
        <v>64</v>
      </c>
      <c r="E3491" s="16" t="s">
        <v>75</v>
      </c>
      <c r="F3491" s="16" t="s">
        <v>149</v>
      </c>
      <c r="G3491" s="8" t="s">
        <v>1561</v>
      </c>
      <c r="H3491" s="8" t="s">
        <v>1562</v>
      </c>
      <c r="I3491" s="16" t="s">
        <v>296</v>
      </c>
      <c r="J3491" s="16">
        <v>16.788998930603999</v>
      </c>
      <c r="K3491" s="16">
        <v>-96.551375574597003</v>
      </c>
      <c r="L3491" s="16" t="str">
        <f>HYPERLINK("https://maps.google.com/?q=16.788998930604,-96.551375574597", "🔗 Ver Mapa")</f>
        <v>🔗 Ver Mapa</v>
      </c>
    </row>
    <row r="3492" spans="1:12" ht="43.5" x14ac:dyDescent="0.35">
      <c r="A3492" s="6" t="s">
        <v>4</v>
      </c>
      <c r="B3492" s="6" t="s">
        <v>17</v>
      </c>
      <c r="C3492" s="6" t="s">
        <v>1563</v>
      </c>
      <c r="D3492" s="11" t="s">
        <v>64</v>
      </c>
      <c r="E3492" s="17" t="s">
        <v>75</v>
      </c>
      <c r="F3492" s="17" t="s">
        <v>149</v>
      </c>
      <c r="G3492" s="11" t="s">
        <v>1561</v>
      </c>
      <c r="H3492" s="11" t="s">
        <v>1562</v>
      </c>
      <c r="I3492" s="17" t="s">
        <v>296</v>
      </c>
      <c r="J3492" s="17">
        <v>16.789075929054</v>
      </c>
      <c r="K3492" s="17">
        <v>-96.553615574459997</v>
      </c>
      <c r="L3492" s="17" t="str">
        <f>HYPERLINK("https://maps.google.com/?q=16.789075929054,-96.55361557446", "🔗 Ver Mapa")</f>
        <v>🔗 Ver Mapa</v>
      </c>
    </row>
    <row r="3493" spans="1:12" ht="43.5" x14ac:dyDescent="0.35">
      <c r="A3493" s="5" t="s">
        <v>4</v>
      </c>
      <c r="B3493" s="5" t="s">
        <v>17</v>
      </c>
      <c r="C3493" s="5" t="s">
        <v>1563</v>
      </c>
      <c r="D3493" s="8" t="s">
        <v>64</v>
      </c>
      <c r="E3493" s="16" t="s">
        <v>75</v>
      </c>
      <c r="F3493" s="16" t="s">
        <v>149</v>
      </c>
      <c r="G3493" s="8" t="s">
        <v>1561</v>
      </c>
      <c r="H3493" s="8" t="s">
        <v>1562</v>
      </c>
      <c r="I3493" s="16" t="s">
        <v>296</v>
      </c>
      <c r="J3493" s="16">
        <v>16.789106925037999</v>
      </c>
      <c r="K3493" s="16">
        <v>-96.554874575008995</v>
      </c>
      <c r="L3493" s="16" t="str">
        <f>HYPERLINK("https://maps.google.com/?q=16.789106925038,-96.554874575009", "🔗 Ver Mapa")</f>
        <v>🔗 Ver Mapa</v>
      </c>
    </row>
    <row r="3494" spans="1:12" ht="43.5" x14ac:dyDescent="0.35">
      <c r="A3494" s="6" t="s">
        <v>4</v>
      </c>
      <c r="B3494" s="6" t="s">
        <v>17</v>
      </c>
      <c r="C3494" s="6" t="s">
        <v>1563</v>
      </c>
      <c r="D3494" s="11" t="s">
        <v>64</v>
      </c>
      <c r="E3494" s="17" t="s">
        <v>75</v>
      </c>
      <c r="F3494" s="17" t="s">
        <v>149</v>
      </c>
      <c r="G3494" s="11" t="s">
        <v>1561</v>
      </c>
      <c r="H3494" s="11" t="s">
        <v>1562</v>
      </c>
      <c r="I3494" s="17" t="s">
        <v>296</v>
      </c>
      <c r="J3494" s="17">
        <v>16.789172924428001</v>
      </c>
      <c r="K3494" s="17">
        <v>-96.551411573790006</v>
      </c>
      <c r="L3494" s="17" t="str">
        <f>HYPERLINK("https://maps.google.com/?q=16.789172924428,-96.55141157379", "🔗 Ver Mapa")</f>
        <v>🔗 Ver Mapa</v>
      </c>
    </row>
    <row r="3495" spans="1:12" ht="43.5" x14ac:dyDescent="0.35">
      <c r="A3495" s="5" t="s">
        <v>4</v>
      </c>
      <c r="B3495" s="5" t="s">
        <v>17</v>
      </c>
      <c r="C3495" s="5" t="s">
        <v>1563</v>
      </c>
      <c r="D3495" s="8" t="s">
        <v>64</v>
      </c>
      <c r="E3495" s="16" t="s">
        <v>75</v>
      </c>
      <c r="F3495" s="16" t="s">
        <v>149</v>
      </c>
      <c r="G3495" s="8" t="s">
        <v>1561</v>
      </c>
      <c r="H3495" s="8" t="s">
        <v>1562</v>
      </c>
      <c r="I3495" s="16" t="s">
        <v>296</v>
      </c>
      <c r="J3495" s="16">
        <v>16.789198925377999</v>
      </c>
      <c r="K3495" s="16">
        <v>-96.553677575324002</v>
      </c>
      <c r="L3495" s="16" t="str">
        <f>HYPERLINK("https://maps.google.com/?q=16.789198925378,-96.553677575324", "🔗 Ver Mapa")</f>
        <v>🔗 Ver Mapa</v>
      </c>
    </row>
    <row r="3496" spans="1:12" ht="43.5" x14ac:dyDescent="0.35">
      <c r="A3496" s="6" t="s">
        <v>4</v>
      </c>
      <c r="B3496" s="6" t="s">
        <v>17</v>
      </c>
      <c r="C3496" s="6" t="s">
        <v>1563</v>
      </c>
      <c r="D3496" s="11" t="s">
        <v>64</v>
      </c>
      <c r="E3496" s="17" t="s">
        <v>75</v>
      </c>
      <c r="F3496" s="17" t="s">
        <v>149</v>
      </c>
      <c r="G3496" s="11" t="s">
        <v>1561</v>
      </c>
      <c r="H3496" s="11" t="s">
        <v>1562</v>
      </c>
      <c r="I3496" s="17" t="s">
        <v>296</v>
      </c>
      <c r="J3496" s="17">
        <v>16.789273924418001</v>
      </c>
      <c r="K3496" s="17">
        <v>-96.554741570012993</v>
      </c>
      <c r="L3496" s="17" t="str">
        <f>HYPERLINK("https://maps.google.com/?q=16.789273924418,-96.554741570013", "🔗 Ver Mapa")</f>
        <v>🔗 Ver Mapa</v>
      </c>
    </row>
    <row r="3497" spans="1:12" ht="43.5" x14ac:dyDescent="0.35">
      <c r="A3497" s="5" t="s">
        <v>4</v>
      </c>
      <c r="B3497" s="5" t="s">
        <v>17</v>
      </c>
      <c r="C3497" s="5" t="s">
        <v>1563</v>
      </c>
      <c r="D3497" s="8" t="s">
        <v>64</v>
      </c>
      <c r="E3497" s="16" t="s">
        <v>75</v>
      </c>
      <c r="F3497" s="16" t="s">
        <v>149</v>
      </c>
      <c r="G3497" s="8" t="s">
        <v>1561</v>
      </c>
      <c r="H3497" s="8" t="s">
        <v>1562</v>
      </c>
      <c r="I3497" s="16" t="s">
        <v>296</v>
      </c>
      <c r="J3497" s="16">
        <v>16.789297930917002</v>
      </c>
      <c r="K3497" s="16">
        <v>-96.553698577546996</v>
      </c>
      <c r="L3497" s="16" t="str">
        <f>HYPERLINK("https://maps.google.com/?q=16.789297930917,-96.553698577547", "🔗 Ver Mapa")</f>
        <v>🔗 Ver Mapa</v>
      </c>
    </row>
    <row r="3498" spans="1:12" ht="43.5" x14ac:dyDescent="0.35">
      <c r="A3498" s="6" t="s">
        <v>4</v>
      </c>
      <c r="B3498" s="6" t="s">
        <v>17</v>
      </c>
      <c r="C3498" s="6" t="s">
        <v>1563</v>
      </c>
      <c r="D3498" s="11" t="s">
        <v>64</v>
      </c>
      <c r="E3498" s="17" t="s">
        <v>75</v>
      </c>
      <c r="F3498" s="17" t="s">
        <v>149</v>
      </c>
      <c r="G3498" s="11" t="s">
        <v>1561</v>
      </c>
      <c r="H3498" s="11" t="s">
        <v>1562</v>
      </c>
      <c r="I3498" s="17" t="s">
        <v>296</v>
      </c>
      <c r="J3498" s="17">
        <v>16.789299928317</v>
      </c>
      <c r="K3498" s="17">
        <v>-96.551497573964994</v>
      </c>
      <c r="L3498" s="17" t="str">
        <f>HYPERLINK("https://maps.google.com/?q=16.789299928317,-96.551497573965", "🔗 Ver Mapa")</f>
        <v>🔗 Ver Mapa</v>
      </c>
    </row>
    <row r="3499" spans="1:12" ht="43.5" x14ac:dyDescent="0.35">
      <c r="A3499" s="5" t="s">
        <v>4</v>
      </c>
      <c r="B3499" s="5" t="s">
        <v>17</v>
      </c>
      <c r="C3499" s="5" t="s">
        <v>1563</v>
      </c>
      <c r="D3499" s="8" t="s">
        <v>64</v>
      </c>
      <c r="E3499" s="16" t="s">
        <v>75</v>
      </c>
      <c r="F3499" s="16" t="s">
        <v>149</v>
      </c>
      <c r="G3499" s="8" t="s">
        <v>1561</v>
      </c>
      <c r="H3499" s="8" t="s">
        <v>1562</v>
      </c>
      <c r="I3499" s="16" t="s">
        <v>296</v>
      </c>
      <c r="J3499" s="16">
        <v>16.789344924866999</v>
      </c>
      <c r="K3499" s="16">
        <v>-96.553703573635005</v>
      </c>
      <c r="L3499" s="16" t="str">
        <f>HYPERLINK("https://maps.google.com/?q=16.789344924867,-96.553703573635", "🔗 Ver Mapa")</f>
        <v>🔗 Ver Mapa</v>
      </c>
    </row>
    <row r="3500" spans="1:12" ht="43.5" x14ac:dyDescent="0.35">
      <c r="A3500" s="6" t="s">
        <v>4</v>
      </c>
      <c r="B3500" s="6" t="s">
        <v>17</v>
      </c>
      <c r="C3500" s="6" t="s">
        <v>1563</v>
      </c>
      <c r="D3500" s="11" t="s">
        <v>64</v>
      </c>
      <c r="E3500" s="17" t="s">
        <v>75</v>
      </c>
      <c r="F3500" s="17" t="s">
        <v>149</v>
      </c>
      <c r="G3500" s="11" t="s">
        <v>1561</v>
      </c>
      <c r="H3500" s="11" t="s">
        <v>1562</v>
      </c>
      <c r="I3500" s="17" t="s">
        <v>296</v>
      </c>
      <c r="J3500" s="17">
        <v>16.789344930824999</v>
      </c>
      <c r="K3500" s="17">
        <v>-96.554652572359004</v>
      </c>
      <c r="L3500" s="17" t="str">
        <f>HYPERLINK("https://maps.google.com/?q=16.789344930825,-96.554652572359", "🔗 Ver Mapa")</f>
        <v>🔗 Ver Mapa</v>
      </c>
    </row>
    <row r="3501" spans="1:12" ht="43.5" x14ac:dyDescent="0.35">
      <c r="A3501" s="5" t="s">
        <v>4</v>
      </c>
      <c r="B3501" s="5" t="s">
        <v>17</v>
      </c>
      <c r="C3501" s="5" t="s">
        <v>1563</v>
      </c>
      <c r="D3501" s="8" t="s">
        <v>64</v>
      </c>
      <c r="E3501" s="16" t="s">
        <v>75</v>
      </c>
      <c r="F3501" s="16" t="s">
        <v>149</v>
      </c>
      <c r="G3501" s="8" t="s">
        <v>1561</v>
      </c>
      <c r="H3501" s="8" t="s">
        <v>1562</v>
      </c>
      <c r="I3501" s="16" t="s">
        <v>296</v>
      </c>
      <c r="J3501" s="16">
        <v>16.789347928763998</v>
      </c>
      <c r="K3501" s="16">
        <v>-96.554658572814006</v>
      </c>
      <c r="L3501" s="16" t="str">
        <f>HYPERLINK("https://maps.google.com/?q=16.789347928764,-96.554658572814", "🔗 Ver Mapa")</f>
        <v>🔗 Ver Mapa</v>
      </c>
    </row>
    <row r="3502" spans="1:12" ht="43.5" x14ac:dyDescent="0.35">
      <c r="A3502" s="6" t="s">
        <v>4</v>
      </c>
      <c r="B3502" s="6" t="s">
        <v>17</v>
      </c>
      <c r="C3502" s="6" t="s">
        <v>1563</v>
      </c>
      <c r="D3502" s="11" t="s">
        <v>64</v>
      </c>
      <c r="E3502" s="17" t="s">
        <v>75</v>
      </c>
      <c r="F3502" s="17" t="s">
        <v>149</v>
      </c>
      <c r="G3502" s="11" t="s">
        <v>1561</v>
      </c>
      <c r="H3502" s="11" t="s">
        <v>1562</v>
      </c>
      <c r="I3502" s="17" t="s">
        <v>296</v>
      </c>
      <c r="J3502" s="17">
        <v>16.789406928055001</v>
      </c>
      <c r="K3502" s="17">
        <v>-96.553691573699993</v>
      </c>
      <c r="L3502" s="17" t="str">
        <f>HYPERLINK("https://maps.google.com/?q=16.789406928055,-96.5536915737", "🔗 Ver Mapa")</f>
        <v>🔗 Ver Mapa</v>
      </c>
    </row>
    <row r="3503" spans="1:12" ht="43.5" x14ac:dyDescent="0.35">
      <c r="A3503" s="5" t="s">
        <v>4</v>
      </c>
      <c r="B3503" s="5" t="s">
        <v>17</v>
      </c>
      <c r="C3503" s="5" t="s">
        <v>1563</v>
      </c>
      <c r="D3503" s="8" t="s">
        <v>64</v>
      </c>
      <c r="E3503" s="16" t="s">
        <v>75</v>
      </c>
      <c r="F3503" s="16" t="s">
        <v>149</v>
      </c>
      <c r="G3503" s="8" t="s">
        <v>1561</v>
      </c>
      <c r="H3503" s="8" t="s">
        <v>1562</v>
      </c>
      <c r="I3503" s="16" t="s">
        <v>296</v>
      </c>
      <c r="J3503" s="16">
        <v>16.789443923663001</v>
      </c>
      <c r="K3503" s="16">
        <v>-96.553690574634004</v>
      </c>
      <c r="L3503" s="16" t="str">
        <f>HYPERLINK("https://maps.google.com/?q=16.789443923663,-96.553690574634", "🔗 Ver Mapa")</f>
        <v>🔗 Ver Mapa</v>
      </c>
    </row>
    <row r="3504" spans="1:12" ht="43.5" x14ac:dyDescent="0.35">
      <c r="A3504" s="6" t="s">
        <v>4</v>
      </c>
      <c r="B3504" s="6" t="s">
        <v>17</v>
      </c>
      <c r="C3504" s="6" t="s">
        <v>1563</v>
      </c>
      <c r="D3504" s="11" t="s">
        <v>64</v>
      </c>
      <c r="E3504" s="17" t="s">
        <v>75</v>
      </c>
      <c r="F3504" s="17" t="s">
        <v>149</v>
      </c>
      <c r="G3504" s="11" t="s">
        <v>1561</v>
      </c>
      <c r="H3504" s="11" t="s">
        <v>1562</v>
      </c>
      <c r="I3504" s="17" t="s">
        <v>296</v>
      </c>
      <c r="J3504" s="17">
        <v>16.789537928205</v>
      </c>
      <c r="K3504" s="17">
        <v>-96.553671572615002</v>
      </c>
      <c r="L3504" s="17" t="str">
        <f>HYPERLINK("https://maps.google.com/?q=16.789537928205,-96.553671572615", "🔗 Ver Mapa")</f>
        <v>🔗 Ver Mapa</v>
      </c>
    </row>
    <row r="3505" spans="1:12" ht="43.5" x14ac:dyDescent="0.35">
      <c r="A3505" s="5" t="s">
        <v>4</v>
      </c>
      <c r="B3505" s="5" t="s">
        <v>17</v>
      </c>
      <c r="C3505" s="5" t="s">
        <v>1563</v>
      </c>
      <c r="D3505" s="8" t="s">
        <v>64</v>
      </c>
      <c r="E3505" s="16" t="s">
        <v>75</v>
      </c>
      <c r="F3505" s="16" t="s">
        <v>149</v>
      </c>
      <c r="G3505" s="8" t="s">
        <v>1561</v>
      </c>
      <c r="H3505" s="8" t="s">
        <v>1562</v>
      </c>
      <c r="I3505" s="16" t="s">
        <v>296</v>
      </c>
      <c r="J3505" s="16">
        <v>16.789573927808</v>
      </c>
      <c r="K3505" s="16">
        <v>-96.554654572190003</v>
      </c>
      <c r="L3505" s="16" t="str">
        <f>HYPERLINK("https://maps.google.com/?q=16.789573927808,-96.55465457219", "🔗 Ver Mapa")</f>
        <v>🔗 Ver Mapa</v>
      </c>
    </row>
    <row r="3506" spans="1:12" ht="43.5" x14ac:dyDescent="0.35">
      <c r="A3506" s="6" t="s">
        <v>4</v>
      </c>
      <c r="B3506" s="6" t="s">
        <v>17</v>
      </c>
      <c r="C3506" s="6" t="s">
        <v>1563</v>
      </c>
      <c r="D3506" s="11" t="s">
        <v>64</v>
      </c>
      <c r="E3506" s="17" t="s">
        <v>75</v>
      </c>
      <c r="F3506" s="17" t="s">
        <v>149</v>
      </c>
      <c r="G3506" s="11" t="s">
        <v>1561</v>
      </c>
      <c r="H3506" s="11" t="s">
        <v>1562</v>
      </c>
      <c r="I3506" s="17" t="s">
        <v>296</v>
      </c>
      <c r="J3506" s="17">
        <v>16.789587930027</v>
      </c>
      <c r="K3506" s="17">
        <v>-96.553638571671996</v>
      </c>
      <c r="L3506" s="17" t="str">
        <f>HYPERLINK("https://maps.google.com/?q=16.789587930027,-96.553638571672", "🔗 Ver Mapa")</f>
        <v>🔗 Ver Mapa</v>
      </c>
    </row>
    <row r="3507" spans="1:12" ht="43.5" x14ac:dyDescent="0.35">
      <c r="A3507" s="5" t="s">
        <v>4</v>
      </c>
      <c r="B3507" s="5" t="s">
        <v>17</v>
      </c>
      <c r="C3507" s="5" t="s">
        <v>1563</v>
      </c>
      <c r="D3507" s="8" t="s">
        <v>64</v>
      </c>
      <c r="E3507" s="16" t="s">
        <v>75</v>
      </c>
      <c r="F3507" s="16" t="s">
        <v>149</v>
      </c>
      <c r="G3507" s="8" t="s">
        <v>1561</v>
      </c>
      <c r="H3507" s="8" t="s">
        <v>1562</v>
      </c>
      <c r="I3507" s="16" t="s">
        <v>296</v>
      </c>
      <c r="J3507" s="16">
        <v>16.789613923823001</v>
      </c>
      <c r="K3507" s="16">
        <v>-96.554625572358006</v>
      </c>
      <c r="L3507" s="16" t="str">
        <f>HYPERLINK("https://maps.google.com/?q=16.789613923823,-96.554625572358", "🔗 Ver Mapa")</f>
        <v>🔗 Ver Mapa</v>
      </c>
    </row>
    <row r="3508" spans="1:12" ht="43.5" x14ac:dyDescent="0.35">
      <c r="A3508" s="6" t="s">
        <v>4</v>
      </c>
      <c r="B3508" s="6" t="s">
        <v>17</v>
      </c>
      <c r="C3508" s="6" t="s">
        <v>1563</v>
      </c>
      <c r="D3508" s="11" t="s">
        <v>64</v>
      </c>
      <c r="E3508" s="17" t="s">
        <v>75</v>
      </c>
      <c r="F3508" s="17" t="s">
        <v>149</v>
      </c>
      <c r="G3508" s="11" t="s">
        <v>1561</v>
      </c>
      <c r="H3508" s="11" t="s">
        <v>1562</v>
      </c>
      <c r="I3508" s="17" t="s">
        <v>296</v>
      </c>
      <c r="J3508" s="17">
        <v>16.789618924561999</v>
      </c>
      <c r="K3508" s="17">
        <v>-96.551542572681001</v>
      </c>
      <c r="L3508" s="17" t="str">
        <f>HYPERLINK("https://maps.google.com/?q=16.789618924562,-96.551542572681", "🔗 Ver Mapa")</f>
        <v>🔗 Ver Mapa</v>
      </c>
    </row>
    <row r="3509" spans="1:12" ht="43.5" x14ac:dyDescent="0.35">
      <c r="A3509" s="5" t="s">
        <v>4</v>
      </c>
      <c r="B3509" s="5" t="s">
        <v>17</v>
      </c>
      <c r="C3509" s="5" t="s">
        <v>1563</v>
      </c>
      <c r="D3509" s="8" t="s">
        <v>64</v>
      </c>
      <c r="E3509" s="16" t="s">
        <v>75</v>
      </c>
      <c r="F3509" s="16" t="s">
        <v>149</v>
      </c>
      <c r="G3509" s="8" t="s">
        <v>1561</v>
      </c>
      <c r="H3509" s="8" t="s">
        <v>1562</v>
      </c>
      <c r="I3509" s="16" t="s">
        <v>296</v>
      </c>
      <c r="J3509" s="16">
        <v>16.78968592483</v>
      </c>
      <c r="K3509" s="16">
        <v>-96.553634578106994</v>
      </c>
      <c r="L3509" s="16" t="str">
        <f>HYPERLINK("https://maps.google.com/?q=16.78968592483,-96.553634578107", "🔗 Ver Mapa")</f>
        <v>🔗 Ver Mapa</v>
      </c>
    </row>
    <row r="3510" spans="1:12" ht="43.5" x14ac:dyDescent="0.35">
      <c r="A3510" s="6" t="s">
        <v>4</v>
      </c>
      <c r="B3510" s="6" t="s">
        <v>17</v>
      </c>
      <c r="C3510" s="6" t="s">
        <v>1563</v>
      </c>
      <c r="D3510" s="11" t="s">
        <v>64</v>
      </c>
      <c r="E3510" s="17" t="s">
        <v>75</v>
      </c>
      <c r="F3510" s="17" t="s">
        <v>149</v>
      </c>
      <c r="G3510" s="11" t="s">
        <v>1561</v>
      </c>
      <c r="H3510" s="11" t="s">
        <v>1562</v>
      </c>
      <c r="I3510" s="17" t="s">
        <v>296</v>
      </c>
      <c r="J3510" s="17">
        <v>16.789765925105002</v>
      </c>
      <c r="K3510" s="17">
        <v>-96.551580577929002</v>
      </c>
      <c r="L3510" s="17" t="str">
        <f>HYPERLINK("https://maps.google.com/?q=16.789765925105,-96.551580577929", "🔗 Ver Mapa")</f>
        <v>🔗 Ver Mapa</v>
      </c>
    </row>
    <row r="3511" spans="1:12" ht="43.5" x14ac:dyDescent="0.35">
      <c r="A3511" s="5" t="s">
        <v>4</v>
      </c>
      <c r="B3511" s="5" t="s">
        <v>17</v>
      </c>
      <c r="C3511" s="5" t="s">
        <v>1563</v>
      </c>
      <c r="D3511" s="8" t="s">
        <v>64</v>
      </c>
      <c r="E3511" s="16" t="s">
        <v>75</v>
      </c>
      <c r="F3511" s="16" t="s">
        <v>149</v>
      </c>
      <c r="G3511" s="8" t="s">
        <v>1561</v>
      </c>
      <c r="H3511" s="8" t="s">
        <v>1562</v>
      </c>
      <c r="I3511" s="16" t="s">
        <v>296</v>
      </c>
      <c r="J3511" s="16">
        <v>16.789800925030001</v>
      </c>
      <c r="K3511" s="16">
        <v>-96.554509573847</v>
      </c>
      <c r="L3511" s="16" t="str">
        <f>HYPERLINK("https://maps.google.com/?q=16.78980092503,-96.554509573847", "🔗 Ver Mapa")</f>
        <v>🔗 Ver Mapa</v>
      </c>
    </row>
    <row r="3512" spans="1:12" ht="43.5" x14ac:dyDescent="0.35">
      <c r="A3512" s="6" t="s">
        <v>4</v>
      </c>
      <c r="B3512" s="6" t="s">
        <v>17</v>
      </c>
      <c r="C3512" s="6" t="s">
        <v>1563</v>
      </c>
      <c r="D3512" s="11" t="s">
        <v>64</v>
      </c>
      <c r="E3512" s="17" t="s">
        <v>75</v>
      </c>
      <c r="F3512" s="17" t="s">
        <v>149</v>
      </c>
      <c r="G3512" s="11" t="s">
        <v>1561</v>
      </c>
      <c r="H3512" s="11" t="s">
        <v>1562</v>
      </c>
      <c r="I3512" s="17" t="s">
        <v>296</v>
      </c>
      <c r="J3512" s="17">
        <v>16.789802929345999</v>
      </c>
      <c r="K3512" s="17">
        <v>-96.553638574087003</v>
      </c>
      <c r="L3512" s="17" t="str">
        <f>HYPERLINK("https://maps.google.com/?q=16.789802929346,-96.553638574087", "🔗 Ver Mapa")</f>
        <v>🔗 Ver Mapa</v>
      </c>
    </row>
    <row r="3513" spans="1:12" ht="43.5" x14ac:dyDescent="0.35">
      <c r="A3513" s="5" t="s">
        <v>4</v>
      </c>
      <c r="B3513" s="5" t="s">
        <v>17</v>
      </c>
      <c r="C3513" s="5" t="s">
        <v>1563</v>
      </c>
      <c r="D3513" s="8" t="s">
        <v>64</v>
      </c>
      <c r="E3513" s="16" t="s">
        <v>75</v>
      </c>
      <c r="F3513" s="16" t="s">
        <v>149</v>
      </c>
      <c r="G3513" s="8" t="s">
        <v>1561</v>
      </c>
      <c r="H3513" s="8" t="s">
        <v>1562</v>
      </c>
      <c r="I3513" s="16" t="s">
        <v>296</v>
      </c>
      <c r="J3513" s="16">
        <v>16.789908923281999</v>
      </c>
      <c r="K3513" s="16">
        <v>-96.553620571761996</v>
      </c>
      <c r="L3513" s="16" t="str">
        <f>HYPERLINK("https://maps.google.com/?q=16.789908923282,-96.553620571762", "🔗 Ver Mapa")</f>
        <v>🔗 Ver Mapa</v>
      </c>
    </row>
    <row r="3514" spans="1:12" ht="43.5" x14ac:dyDescent="0.35">
      <c r="A3514" s="6" t="s">
        <v>4</v>
      </c>
      <c r="B3514" s="6" t="s">
        <v>17</v>
      </c>
      <c r="C3514" s="6" t="s">
        <v>1563</v>
      </c>
      <c r="D3514" s="11" t="s">
        <v>64</v>
      </c>
      <c r="E3514" s="17" t="s">
        <v>75</v>
      </c>
      <c r="F3514" s="17" t="s">
        <v>149</v>
      </c>
      <c r="G3514" s="11" t="s">
        <v>1561</v>
      </c>
      <c r="H3514" s="11" t="s">
        <v>1562</v>
      </c>
      <c r="I3514" s="17" t="s">
        <v>296</v>
      </c>
      <c r="J3514" s="17">
        <v>16.789917924971</v>
      </c>
      <c r="K3514" s="17">
        <v>-96.554467575654002</v>
      </c>
      <c r="L3514" s="17" t="str">
        <f>HYPERLINK("https://maps.google.com/?q=16.789917924971,-96.554467575654", "🔗 Ver Mapa")</f>
        <v>🔗 Ver Mapa</v>
      </c>
    </row>
    <row r="3515" spans="1:12" ht="43.5" x14ac:dyDescent="0.35">
      <c r="A3515" s="5" t="s">
        <v>4</v>
      </c>
      <c r="B3515" s="5" t="s">
        <v>17</v>
      </c>
      <c r="C3515" s="5" t="s">
        <v>1563</v>
      </c>
      <c r="D3515" s="8" t="s">
        <v>64</v>
      </c>
      <c r="E3515" s="16" t="s">
        <v>75</v>
      </c>
      <c r="F3515" s="16" t="s">
        <v>149</v>
      </c>
      <c r="G3515" s="8" t="s">
        <v>1561</v>
      </c>
      <c r="H3515" s="8" t="s">
        <v>1562</v>
      </c>
      <c r="I3515" s="16" t="s">
        <v>296</v>
      </c>
      <c r="J3515" s="16">
        <v>16.789920929688002</v>
      </c>
      <c r="K3515" s="16">
        <v>-96.551631571024998</v>
      </c>
      <c r="L3515" s="16" t="str">
        <f>HYPERLINK("https://maps.google.com/?q=16.789920929688,-96.551631571025", "🔗 Ver Mapa")</f>
        <v>🔗 Ver Mapa</v>
      </c>
    </row>
    <row r="3516" spans="1:12" ht="43.5" x14ac:dyDescent="0.35">
      <c r="A3516" s="6" t="s">
        <v>4</v>
      </c>
      <c r="B3516" s="6" t="s">
        <v>17</v>
      </c>
      <c r="C3516" s="6" t="s">
        <v>1563</v>
      </c>
      <c r="D3516" s="11" t="s">
        <v>64</v>
      </c>
      <c r="E3516" s="17" t="s">
        <v>75</v>
      </c>
      <c r="F3516" s="17" t="s">
        <v>149</v>
      </c>
      <c r="G3516" s="11" t="s">
        <v>1561</v>
      </c>
      <c r="H3516" s="11" t="s">
        <v>1562</v>
      </c>
      <c r="I3516" s="17" t="s">
        <v>296</v>
      </c>
      <c r="J3516" s="17">
        <v>16.790010924360999</v>
      </c>
      <c r="K3516" s="17">
        <v>-96.553643570435995</v>
      </c>
      <c r="L3516" s="17" t="str">
        <f>HYPERLINK("https://maps.google.com/?q=16.790010924361,-96.553643570436", "🔗 Ver Mapa")</f>
        <v>🔗 Ver Mapa</v>
      </c>
    </row>
    <row r="3517" spans="1:12" ht="43.5" x14ac:dyDescent="0.35">
      <c r="A3517" s="5" t="s">
        <v>4</v>
      </c>
      <c r="B3517" s="5" t="s">
        <v>17</v>
      </c>
      <c r="C3517" s="5" t="s">
        <v>1563</v>
      </c>
      <c r="D3517" s="8" t="s">
        <v>64</v>
      </c>
      <c r="E3517" s="16" t="s">
        <v>75</v>
      </c>
      <c r="F3517" s="16" t="s">
        <v>149</v>
      </c>
      <c r="G3517" s="8" t="s">
        <v>1561</v>
      </c>
      <c r="H3517" s="8" t="s">
        <v>1562</v>
      </c>
      <c r="I3517" s="16" t="s">
        <v>296</v>
      </c>
      <c r="J3517" s="16">
        <v>16.790014924584</v>
      </c>
      <c r="K3517" s="16">
        <v>-96.553652577483007</v>
      </c>
      <c r="L3517" s="16" t="str">
        <f>HYPERLINK("https://maps.google.com/?q=16.790014924584,-96.553652577483", "🔗 Ver Mapa")</f>
        <v>🔗 Ver Mapa</v>
      </c>
    </row>
    <row r="3518" spans="1:12" ht="43.5" x14ac:dyDescent="0.35">
      <c r="A3518" s="6" t="s">
        <v>4</v>
      </c>
      <c r="B3518" s="6" t="s">
        <v>17</v>
      </c>
      <c r="C3518" s="6" t="s">
        <v>1563</v>
      </c>
      <c r="D3518" s="11" t="s">
        <v>64</v>
      </c>
      <c r="E3518" s="17" t="s">
        <v>75</v>
      </c>
      <c r="F3518" s="17" t="s">
        <v>149</v>
      </c>
      <c r="G3518" s="11" t="s">
        <v>1561</v>
      </c>
      <c r="H3518" s="11" t="s">
        <v>1562</v>
      </c>
      <c r="I3518" s="17" t="s">
        <v>296</v>
      </c>
      <c r="J3518" s="17">
        <v>16.790015927772998</v>
      </c>
      <c r="K3518" s="17">
        <v>-96.554488572411998</v>
      </c>
      <c r="L3518" s="17" t="str">
        <f>HYPERLINK("https://maps.google.com/?q=16.790015927773,-96.554488572412", "🔗 Ver Mapa")</f>
        <v>🔗 Ver Mapa</v>
      </c>
    </row>
    <row r="3519" spans="1:12" ht="43.5" x14ac:dyDescent="0.35">
      <c r="A3519" s="5" t="s">
        <v>4</v>
      </c>
      <c r="B3519" s="5" t="s">
        <v>17</v>
      </c>
      <c r="C3519" s="5" t="s">
        <v>1563</v>
      </c>
      <c r="D3519" s="8" t="s">
        <v>64</v>
      </c>
      <c r="E3519" s="16" t="s">
        <v>75</v>
      </c>
      <c r="F3519" s="16" t="s">
        <v>149</v>
      </c>
      <c r="G3519" s="8" t="s">
        <v>1561</v>
      </c>
      <c r="H3519" s="8" t="s">
        <v>1562</v>
      </c>
      <c r="I3519" s="16" t="s">
        <v>296</v>
      </c>
      <c r="J3519" s="16">
        <v>16.790021930778</v>
      </c>
      <c r="K3519" s="16">
        <v>-96.553673576861001</v>
      </c>
      <c r="L3519" s="16" t="str">
        <f>HYPERLINK("https://maps.google.com/?q=16.790021930778,-96.553673576861", "🔗 Ver Mapa")</f>
        <v>🔗 Ver Mapa</v>
      </c>
    </row>
    <row r="3520" spans="1:12" ht="43.5" x14ac:dyDescent="0.35">
      <c r="A3520" s="6" t="s">
        <v>4</v>
      </c>
      <c r="B3520" s="6" t="s">
        <v>17</v>
      </c>
      <c r="C3520" s="6" t="s">
        <v>1563</v>
      </c>
      <c r="D3520" s="11" t="s">
        <v>64</v>
      </c>
      <c r="E3520" s="17" t="s">
        <v>75</v>
      </c>
      <c r="F3520" s="17" t="s">
        <v>149</v>
      </c>
      <c r="G3520" s="11" t="s">
        <v>1561</v>
      </c>
      <c r="H3520" s="11" t="s">
        <v>1562</v>
      </c>
      <c r="I3520" s="17" t="s">
        <v>296</v>
      </c>
      <c r="J3520" s="17">
        <v>16.790081927841001</v>
      </c>
      <c r="K3520" s="17">
        <v>-96.551712578481997</v>
      </c>
      <c r="L3520" s="17" t="str">
        <f>HYPERLINK("https://maps.google.com/?q=16.790081927841,-96.551712578482", "🔗 Ver Mapa")</f>
        <v>🔗 Ver Mapa</v>
      </c>
    </row>
    <row r="3521" spans="1:12" ht="43.5" x14ac:dyDescent="0.35">
      <c r="A3521" s="5" t="s">
        <v>4</v>
      </c>
      <c r="B3521" s="5" t="s">
        <v>17</v>
      </c>
      <c r="C3521" s="5" t="s">
        <v>1563</v>
      </c>
      <c r="D3521" s="8" t="s">
        <v>64</v>
      </c>
      <c r="E3521" s="16" t="s">
        <v>75</v>
      </c>
      <c r="F3521" s="16" t="s">
        <v>149</v>
      </c>
      <c r="G3521" s="8" t="s">
        <v>1561</v>
      </c>
      <c r="H3521" s="8" t="s">
        <v>1562</v>
      </c>
      <c r="I3521" s="16" t="s">
        <v>296</v>
      </c>
      <c r="J3521" s="16">
        <v>16.790094922746</v>
      </c>
      <c r="K3521" s="16">
        <v>-96.554451571288993</v>
      </c>
      <c r="L3521" s="16" t="str">
        <f>HYPERLINK("https://maps.google.com/?q=16.790094922746,-96.554451571289", "🔗 Ver Mapa")</f>
        <v>🔗 Ver Mapa</v>
      </c>
    </row>
    <row r="3522" spans="1:12" ht="43.5" x14ac:dyDescent="0.35">
      <c r="A3522" s="6" t="s">
        <v>4</v>
      </c>
      <c r="B3522" s="6" t="s">
        <v>17</v>
      </c>
      <c r="C3522" s="6" t="s">
        <v>1563</v>
      </c>
      <c r="D3522" s="11" t="s">
        <v>64</v>
      </c>
      <c r="E3522" s="17" t="s">
        <v>75</v>
      </c>
      <c r="F3522" s="17" t="s">
        <v>149</v>
      </c>
      <c r="G3522" s="11" t="s">
        <v>1561</v>
      </c>
      <c r="H3522" s="11" t="s">
        <v>1562</v>
      </c>
      <c r="I3522" s="17" t="s">
        <v>296</v>
      </c>
      <c r="J3522" s="17">
        <v>16.790104928994001</v>
      </c>
      <c r="K3522" s="17">
        <v>-96.553624577674</v>
      </c>
      <c r="L3522" s="17" t="str">
        <f>HYPERLINK("https://maps.google.com/?q=16.790104928994,-96.553624577674", "🔗 Ver Mapa")</f>
        <v>🔗 Ver Mapa</v>
      </c>
    </row>
    <row r="3523" spans="1:12" ht="43.5" x14ac:dyDescent="0.35">
      <c r="A3523" s="5" t="s">
        <v>4</v>
      </c>
      <c r="B3523" s="5" t="s">
        <v>17</v>
      </c>
      <c r="C3523" s="5" t="s">
        <v>1563</v>
      </c>
      <c r="D3523" s="8" t="s">
        <v>64</v>
      </c>
      <c r="E3523" s="16" t="s">
        <v>75</v>
      </c>
      <c r="F3523" s="16" t="s">
        <v>149</v>
      </c>
      <c r="G3523" s="8" t="s">
        <v>1561</v>
      </c>
      <c r="H3523" s="8" t="s">
        <v>1562</v>
      </c>
      <c r="I3523" s="16" t="s">
        <v>296</v>
      </c>
      <c r="J3523" s="16">
        <v>16.790151929688999</v>
      </c>
      <c r="K3523" s="16">
        <v>-96.551749573839999</v>
      </c>
      <c r="L3523" s="16" t="str">
        <f>HYPERLINK("https://maps.google.com/?q=16.790151929689,-96.55174957384", "🔗 Ver Mapa")</f>
        <v>🔗 Ver Mapa</v>
      </c>
    </row>
    <row r="3524" spans="1:12" ht="43.5" x14ac:dyDescent="0.35">
      <c r="A3524" s="6" t="s">
        <v>4</v>
      </c>
      <c r="B3524" s="6" t="s">
        <v>17</v>
      </c>
      <c r="C3524" s="6" t="s">
        <v>1563</v>
      </c>
      <c r="D3524" s="11" t="s">
        <v>64</v>
      </c>
      <c r="E3524" s="17" t="s">
        <v>75</v>
      </c>
      <c r="F3524" s="17" t="s">
        <v>149</v>
      </c>
      <c r="G3524" s="11" t="s">
        <v>1561</v>
      </c>
      <c r="H3524" s="11" t="s">
        <v>1562</v>
      </c>
      <c r="I3524" s="17" t="s">
        <v>296</v>
      </c>
      <c r="J3524" s="17">
        <v>16.790179928409</v>
      </c>
      <c r="K3524" s="17">
        <v>-96.553586577144003</v>
      </c>
      <c r="L3524" s="17" t="str">
        <f>HYPERLINK("https://maps.google.com/?q=16.790179928409,-96.553586577144", "🔗 Ver Mapa")</f>
        <v>🔗 Ver Mapa</v>
      </c>
    </row>
    <row r="3525" spans="1:12" ht="43.5" x14ac:dyDescent="0.35">
      <c r="A3525" s="5" t="s">
        <v>4</v>
      </c>
      <c r="B3525" s="5" t="s">
        <v>17</v>
      </c>
      <c r="C3525" s="5" t="s">
        <v>1563</v>
      </c>
      <c r="D3525" s="8" t="s">
        <v>64</v>
      </c>
      <c r="E3525" s="16" t="s">
        <v>75</v>
      </c>
      <c r="F3525" s="16" t="s">
        <v>149</v>
      </c>
      <c r="G3525" s="8" t="s">
        <v>1561</v>
      </c>
      <c r="H3525" s="8" t="s">
        <v>1562</v>
      </c>
      <c r="I3525" s="16" t="s">
        <v>296</v>
      </c>
      <c r="J3525" s="16">
        <v>16.790251927671001</v>
      </c>
      <c r="K3525" s="16">
        <v>-96.553614573744994</v>
      </c>
      <c r="L3525" s="16" t="str">
        <f>HYPERLINK("https://maps.google.com/?q=16.790251927671,-96.553614573745", "🔗 Ver Mapa")</f>
        <v>🔗 Ver Mapa</v>
      </c>
    </row>
    <row r="3526" spans="1:12" ht="43.5" x14ac:dyDescent="0.35">
      <c r="A3526" s="6" t="s">
        <v>4</v>
      </c>
      <c r="B3526" s="6" t="s">
        <v>17</v>
      </c>
      <c r="C3526" s="6" t="s">
        <v>1563</v>
      </c>
      <c r="D3526" s="11" t="s">
        <v>64</v>
      </c>
      <c r="E3526" s="17" t="s">
        <v>75</v>
      </c>
      <c r="F3526" s="17" t="s">
        <v>149</v>
      </c>
      <c r="G3526" s="11" t="s">
        <v>1561</v>
      </c>
      <c r="H3526" s="11" t="s">
        <v>1562</v>
      </c>
      <c r="I3526" s="17" t="s">
        <v>296</v>
      </c>
      <c r="J3526" s="17">
        <v>16.790252923173998</v>
      </c>
      <c r="K3526" s="17">
        <v>-96.554387574206999</v>
      </c>
      <c r="L3526" s="17" t="str">
        <f>HYPERLINK("https://maps.google.com/?q=16.790252923174,-96.554387574207", "🔗 Ver Mapa")</f>
        <v>🔗 Ver Mapa</v>
      </c>
    </row>
    <row r="3527" spans="1:12" ht="43.5" x14ac:dyDescent="0.35">
      <c r="A3527" s="5" t="s">
        <v>4</v>
      </c>
      <c r="B3527" s="5" t="s">
        <v>17</v>
      </c>
      <c r="C3527" s="5" t="s">
        <v>1563</v>
      </c>
      <c r="D3527" s="8" t="s">
        <v>64</v>
      </c>
      <c r="E3527" s="16" t="s">
        <v>75</v>
      </c>
      <c r="F3527" s="16" t="s">
        <v>149</v>
      </c>
      <c r="G3527" s="8" t="s">
        <v>1561</v>
      </c>
      <c r="H3527" s="8" t="s">
        <v>1562</v>
      </c>
      <c r="I3527" s="16" t="s">
        <v>296</v>
      </c>
      <c r="J3527" s="16">
        <v>16.79033692238</v>
      </c>
      <c r="K3527" s="16">
        <v>-96.554312578367004</v>
      </c>
      <c r="L3527" s="16" t="str">
        <f>HYPERLINK("https://maps.google.com/?q=16.79033692238,-96.554312578367", "🔗 Ver Mapa")</f>
        <v>🔗 Ver Mapa</v>
      </c>
    </row>
    <row r="3528" spans="1:12" ht="43.5" x14ac:dyDescent="0.35">
      <c r="A3528" s="6" t="s">
        <v>4</v>
      </c>
      <c r="B3528" s="6" t="s">
        <v>17</v>
      </c>
      <c r="C3528" s="6" t="s">
        <v>1563</v>
      </c>
      <c r="D3528" s="11" t="s">
        <v>64</v>
      </c>
      <c r="E3528" s="17" t="s">
        <v>75</v>
      </c>
      <c r="F3528" s="17" t="s">
        <v>149</v>
      </c>
      <c r="G3528" s="11" t="s">
        <v>1561</v>
      </c>
      <c r="H3528" s="11" t="s">
        <v>1562</v>
      </c>
      <c r="I3528" s="17" t="s">
        <v>296</v>
      </c>
      <c r="J3528" s="17">
        <v>16.790357923153</v>
      </c>
      <c r="K3528" s="17">
        <v>-96.553625574785997</v>
      </c>
      <c r="L3528" s="17" t="str">
        <f>HYPERLINK("https://maps.google.com/?q=16.790357923153,-96.553625574786", "🔗 Ver Mapa")</f>
        <v>🔗 Ver Mapa</v>
      </c>
    </row>
    <row r="3529" spans="1:12" ht="43.5" x14ac:dyDescent="0.35">
      <c r="A3529" s="5" t="s">
        <v>4</v>
      </c>
      <c r="B3529" s="5" t="s">
        <v>17</v>
      </c>
      <c r="C3529" s="5" t="s">
        <v>1563</v>
      </c>
      <c r="D3529" s="8" t="s">
        <v>64</v>
      </c>
      <c r="E3529" s="16" t="s">
        <v>75</v>
      </c>
      <c r="F3529" s="16" t="s">
        <v>149</v>
      </c>
      <c r="G3529" s="8" t="s">
        <v>1561</v>
      </c>
      <c r="H3529" s="8" t="s">
        <v>1562</v>
      </c>
      <c r="I3529" s="16" t="s">
        <v>296</v>
      </c>
      <c r="J3529" s="16">
        <v>16.790418925089998</v>
      </c>
      <c r="K3529" s="16">
        <v>-96.553604576116001</v>
      </c>
      <c r="L3529" s="16" t="str">
        <f>HYPERLINK("https://maps.google.com/?q=16.79041892509,-96.553604576116", "🔗 Ver Mapa")</f>
        <v>🔗 Ver Mapa</v>
      </c>
    </row>
    <row r="3530" spans="1:12" ht="43.5" x14ac:dyDescent="0.35">
      <c r="A3530" s="6" t="s">
        <v>4</v>
      </c>
      <c r="B3530" s="6" t="s">
        <v>17</v>
      </c>
      <c r="C3530" s="6" t="s">
        <v>1563</v>
      </c>
      <c r="D3530" s="11" t="s">
        <v>64</v>
      </c>
      <c r="E3530" s="17" t="s">
        <v>75</v>
      </c>
      <c r="F3530" s="17" t="s">
        <v>149</v>
      </c>
      <c r="G3530" s="11" t="s">
        <v>1561</v>
      </c>
      <c r="H3530" s="11" t="s">
        <v>1562</v>
      </c>
      <c r="I3530" s="17" t="s">
        <v>296</v>
      </c>
      <c r="J3530" s="17">
        <v>16.790468929393999</v>
      </c>
      <c r="K3530" s="17">
        <v>-96.553613575149001</v>
      </c>
      <c r="L3530" s="17" t="str">
        <f>HYPERLINK("https://maps.google.com/?q=16.790468929394,-96.553613575149", "🔗 Ver Mapa")</f>
        <v>🔗 Ver Mapa</v>
      </c>
    </row>
    <row r="3531" spans="1:12" ht="43.5" x14ac:dyDescent="0.35">
      <c r="A3531" s="5" t="s">
        <v>4</v>
      </c>
      <c r="B3531" s="5" t="s">
        <v>17</v>
      </c>
      <c r="C3531" s="5" t="s">
        <v>1563</v>
      </c>
      <c r="D3531" s="8" t="s">
        <v>64</v>
      </c>
      <c r="E3531" s="16" t="s">
        <v>75</v>
      </c>
      <c r="F3531" s="16" t="s">
        <v>149</v>
      </c>
      <c r="G3531" s="8" t="s">
        <v>1561</v>
      </c>
      <c r="H3531" s="8" t="s">
        <v>1562</v>
      </c>
      <c r="I3531" s="16" t="s">
        <v>296</v>
      </c>
      <c r="J3531" s="16">
        <v>16.790490927667001</v>
      </c>
      <c r="K3531" s="16">
        <v>-96.553611577284997</v>
      </c>
      <c r="L3531" s="16" t="str">
        <f>HYPERLINK("https://maps.google.com/?q=16.790490927667,-96.553611577285", "🔗 Ver Mapa")</f>
        <v>🔗 Ver Mapa</v>
      </c>
    </row>
    <row r="3532" spans="1:12" ht="43.5" x14ac:dyDescent="0.35">
      <c r="A3532" s="6" t="s">
        <v>4</v>
      </c>
      <c r="B3532" s="6" t="s">
        <v>17</v>
      </c>
      <c r="C3532" s="6" t="s">
        <v>1563</v>
      </c>
      <c r="D3532" s="11" t="s">
        <v>64</v>
      </c>
      <c r="E3532" s="17" t="s">
        <v>75</v>
      </c>
      <c r="F3532" s="17" t="s">
        <v>149</v>
      </c>
      <c r="G3532" s="11" t="s">
        <v>1561</v>
      </c>
      <c r="H3532" s="11" t="s">
        <v>1562</v>
      </c>
      <c r="I3532" s="17" t="s">
        <v>296</v>
      </c>
      <c r="J3532" s="17">
        <v>16.790533928525001</v>
      </c>
      <c r="K3532" s="17">
        <v>-96.551926573512006</v>
      </c>
      <c r="L3532" s="17" t="str">
        <f>HYPERLINK("https://maps.google.com/?q=16.790533928525,-96.551926573512", "🔗 Ver Mapa")</f>
        <v>🔗 Ver Mapa</v>
      </c>
    </row>
    <row r="3533" spans="1:12" ht="43.5" x14ac:dyDescent="0.35">
      <c r="A3533" s="5" t="s">
        <v>4</v>
      </c>
      <c r="B3533" s="5" t="s">
        <v>17</v>
      </c>
      <c r="C3533" s="5" t="s">
        <v>1563</v>
      </c>
      <c r="D3533" s="8" t="s">
        <v>64</v>
      </c>
      <c r="E3533" s="16" t="s">
        <v>75</v>
      </c>
      <c r="F3533" s="16" t="s">
        <v>149</v>
      </c>
      <c r="G3533" s="8" t="s">
        <v>1561</v>
      </c>
      <c r="H3533" s="8" t="s">
        <v>1562</v>
      </c>
      <c r="I3533" s="16" t="s">
        <v>296</v>
      </c>
      <c r="J3533" s="16">
        <v>16.790537922193</v>
      </c>
      <c r="K3533" s="16">
        <v>-96.554208571255998</v>
      </c>
      <c r="L3533" s="16" t="str">
        <f>HYPERLINK("https://maps.google.com/?q=16.790537922193,-96.554208571256", "🔗 Ver Mapa")</f>
        <v>🔗 Ver Mapa</v>
      </c>
    </row>
    <row r="3534" spans="1:12" ht="43.5" x14ac:dyDescent="0.35">
      <c r="A3534" s="6" t="s">
        <v>4</v>
      </c>
      <c r="B3534" s="6" t="s">
        <v>17</v>
      </c>
      <c r="C3534" s="6" t="s">
        <v>1563</v>
      </c>
      <c r="D3534" s="11" t="s">
        <v>64</v>
      </c>
      <c r="E3534" s="17" t="s">
        <v>75</v>
      </c>
      <c r="F3534" s="17" t="s">
        <v>149</v>
      </c>
      <c r="G3534" s="11" t="s">
        <v>1561</v>
      </c>
      <c r="H3534" s="11" t="s">
        <v>1562</v>
      </c>
      <c r="I3534" s="17" t="s">
        <v>296</v>
      </c>
      <c r="J3534" s="17">
        <v>16.79058493134</v>
      </c>
      <c r="K3534" s="17">
        <v>-96.553636572629003</v>
      </c>
      <c r="L3534" s="17" t="str">
        <f>HYPERLINK("https://maps.google.com/?q=16.79058493134,-96.553636572629", "🔗 Ver Mapa")</f>
        <v>🔗 Ver Mapa</v>
      </c>
    </row>
    <row r="3535" spans="1:12" ht="43.5" x14ac:dyDescent="0.35">
      <c r="A3535" s="5" t="s">
        <v>4</v>
      </c>
      <c r="B3535" s="5" t="s">
        <v>17</v>
      </c>
      <c r="C3535" s="5" t="s">
        <v>1563</v>
      </c>
      <c r="D3535" s="8" t="s">
        <v>64</v>
      </c>
      <c r="E3535" s="16" t="s">
        <v>75</v>
      </c>
      <c r="F3535" s="16" t="s">
        <v>149</v>
      </c>
      <c r="G3535" s="8" t="s">
        <v>1561</v>
      </c>
      <c r="H3535" s="8" t="s">
        <v>1562</v>
      </c>
      <c r="I3535" s="16" t="s">
        <v>296</v>
      </c>
      <c r="J3535" s="16">
        <v>16.790617929747999</v>
      </c>
      <c r="K3535" s="16">
        <v>-96.551912574824001</v>
      </c>
      <c r="L3535" s="16" t="str">
        <f>HYPERLINK("https://maps.google.com/?q=16.790617929748,-96.551912574824", "🔗 Ver Mapa")</f>
        <v>🔗 Ver Mapa</v>
      </c>
    </row>
    <row r="3536" spans="1:12" ht="43.5" x14ac:dyDescent="0.35">
      <c r="A3536" s="6" t="s">
        <v>4</v>
      </c>
      <c r="B3536" s="6" t="s">
        <v>17</v>
      </c>
      <c r="C3536" s="6" t="s">
        <v>1563</v>
      </c>
      <c r="D3536" s="11" t="s">
        <v>64</v>
      </c>
      <c r="E3536" s="17" t="s">
        <v>75</v>
      </c>
      <c r="F3536" s="17" t="s">
        <v>149</v>
      </c>
      <c r="G3536" s="11" t="s">
        <v>1561</v>
      </c>
      <c r="H3536" s="11" t="s">
        <v>1562</v>
      </c>
      <c r="I3536" s="17" t="s">
        <v>296</v>
      </c>
      <c r="J3536" s="17">
        <v>16.790630928325999</v>
      </c>
      <c r="K3536" s="17">
        <v>-96.553624571317002</v>
      </c>
      <c r="L3536" s="17" t="str">
        <f>HYPERLINK("https://maps.google.com/?q=16.790630928326,-96.553624571317", "🔗 Ver Mapa")</f>
        <v>🔗 Ver Mapa</v>
      </c>
    </row>
    <row r="3537" spans="1:12" ht="43.5" x14ac:dyDescent="0.35">
      <c r="A3537" s="5" t="s">
        <v>4</v>
      </c>
      <c r="B3537" s="5" t="s">
        <v>17</v>
      </c>
      <c r="C3537" s="5" t="s">
        <v>1563</v>
      </c>
      <c r="D3537" s="8" t="s">
        <v>64</v>
      </c>
      <c r="E3537" s="16" t="s">
        <v>75</v>
      </c>
      <c r="F3537" s="16" t="s">
        <v>149</v>
      </c>
      <c r="G3537" s="8" t="s">
        <v>1561</v>
      </c>
      <c r="H3537" s="8" t="s">
        <v>1562</v>
      </c>
      <c r="I3537" s="16" t="s">
        <v>296</v>
      </c>
      <c r="J3537" s="16">
        <v>16.790668930528</v>
      </c>
      <c r="K3537" s="16">
        <v>-96.553656576245999</v>
      </c>
      <c r="L3537" s="16" t="str">
        <f>HYPERLINK("https://maps.google.com/?q=16.790668930528,-96.553656576246", "🔗 Ver Mapa")</f>
        <v>🔗 Ver Mapa</v>
      </c>
    </row>
    <row r="3538" spans="1:12" ht="43.5" x14ac:dyDescent="0.35">
      <c r="A3538" s="6" t="s">
        <v>4</v>
      </c>
      <c r="B3538" s="6" t="s">
        <v>17</v>
      </c>
      <c r="C3538" s="6" t="s">
        <v>1563</v>
      </c>
      <c r="D3538" s="11" t="s">
        <v>64</v>
      </c>
      <c r="E3538" s="17" t="s">
        <v>75</v>
      </c>
      <c r="F3538" s="17" t="s">
        <v>149</v>
      </c>
      <c r="G3538" s="11" t="s">
        <v>1561</v>
      </c>
      <c r="H3538" s="11" t="s">
        <v>1562</v>
      </c>
      <c r="I3538" s="17" t="s">
        <v>296</v>
      </c>
      <c r="J3538" s="17">
        <v>16.790680924762999</v>
      </c>
      <c r="K3538" s="17">
        <v>-96.554222577518999</v>
      </c>
      <c r="L3538" s="17" t="str">
        <f>HYPERLINK("https://maps.google.com/?q=16.790680924763,-96.554222577519", "🔗 Ver Mapa")</f>
        <v>🔗 Ver Mapa</v>
      </c>
    </row>
    <row r="3539" spans="1:12" ht="43.5" x14ac:dyDescent="0.35">
      <c r="A3539" s="5" t="s">
        <v>4</v>
      </c>
      <c r="B3539" s="5" t="s">
        <v>17</v>
      </c>
      <c r="C3539" s="5" t="s">
        <v>1563</v>
      </c>
      <c r="D3539" s="8" t="s">
        <v>64</v>
      </c>
      <c r="E3539" s="16" t="s">
        <v>75</v>
      </c>
      <c r="F3539" s="16" t="s">
        <v>149</v>
      </c>
      <c r="G3539" s="8" t="s">
        <v>1561</v>
      </c>
      <c r="H3539" s="8" t="s">
        <v>1562</v>
      </c>
      <c r="I3539" s="16" t="s">
        <v>296</v>
      </c>
      <c r="J3539" s="16">
        <v>16.790715930762001</v>
      </c>
      <c r="K3539" s="16">
        <v>-96.553679576364004</v>
      </c>
      <c r="L3539" s="16" t="str">
        <f>HYPERLINK("https://maps.google.com/?q=16.790715930762,-96.553679576364", "🔗 Ver Mapa")</f>
        <v>🔗 Ver Mapa</v>
      </c>
    </row>
    <row r="3540" spans="1:12" ht="43.5" x14ac:dyDescent="0.35">
      <c r="A3540" s="6" t="s">
        <v>4</v>
      </c>
      <c r="B3540" s="6" t="s">
        <v>17</v>
      </c>
      <c r="C3540" s="6" t="s">
        <v>1563</v>
      </c>
      <c r="D3540" s="11" t="s">
        <v>64</v>
      </c>
      <c r="E3540" s="17" t="s">
        <v>75</v>
      </c>
      <c r="F3540" s="17" t="s">
        <v>149</v>
      </c>
      <c r="G3540" s="11" t="s">
        <v>1561</v>
      </c>
      <c r="H3540" s="11" t="s">
        <v>1562</v>
      </c>
      <c r="I3540" s="17" t="s">
        <v>296</v>
      </c>
      <c r="J3540" s="17">
        <v>16.790755930963002</v>
      </c>
      <c r="K3540" s="17">
        <v>-96.554256574792007</v>
      </c>
      <c r="L3540" s="17" t="str">
        <f>HYPERLINK("https://maps.google.com/?q=16.790755930963,-96.554256574792", "🔗 Ver Mapa")</f>
        <v>🔗 Ver Mapa</v>
      </c>
    </row>
    <row r="3541" spans="1:12" ht="43.5" x14ac:dyDescent="0.35">
      <c r="A3541" s="5" t="s">
        <v>4</v>
      </c>
      <c r="B3541" s="5" t="s">
        <v>17</v>
      </c>
      <c r="C3541" s="5" t="s">
        <v>1563</v>
      </c>
      <c r="D3541" s="8" t="s">
        <v>64</v>
      </c>
      <c r="E3541" s="16" t="s">
        <v>75</v>
      </c>
      <c r="F3541" s="16" t="s">
        <v>149</v>
      </c>
      <c r="G3541" s="8" t="s">
        <v>1561</v>
      </c>
      <c r="H3541" s="8" t="s">
        <v>1562</v>
      </c>
      <c r="I3541" s="16" t="s">
        <v>296</v>
      </c>
      <c r="J3541" s="16">
        <v>16.790759927608001</v>
      </c>
      <c r="K3541" s="16">
        <v>-96.551919578118003</v>
      </c>
      <c r="L3541" s="16" t="str">
        <f>HYPERLINK("https://maps.google.com/?q=16.790759927608,-96.551919578118", "🔗 Ver Mapa")</f>
        <v>🔗 Ver Mapa</v>
      </c>
    </row>
    <row r="3542" spans="1:12" ht="43.5" x14ac:dyDescent="0.35">
      <c r="A3542" s="6" t="s">
        <v>4</v>
      </c>
      <c r="B3542" s="6" t="s">
        <v>17</v>
      </c>
      <c r="C3542" s="6" t="s">
        <v>1563</v>
      </c>
      <c r="D3542" s="11" t="s">
        <v>64</v>
      </c>
      <c r="E3542" s="17" t="s">
        <v>75</v>
      </c>
      <c r="F3542" s="17" t="s">
        <v>149</v>
      </c>
      <c r="G3542" s="11" t="s">
        <v>1561</v>
      </c>
      <c r="H3542" s="11" t="s">
        <v>1562</v>
      </c>
      <c r="I3542" s="17" t="s">
        <v>296</v>
      </c>
      <c r="J3542" s="17">
        <v>16.790763929783999</v>
      </c>
      <c r="K3542" s="17">
        <v>-96.553707571095998</v>
      </c>
      <c r="L3542" s="17" t="str">
        <f>HYPERLINK("https://maps.google.com/?q=16.790763929784,-96.553707571096", "🔗 Ver Mapa")</f>
        <v>🔗 Ver Mapa</v>
      </c>
    </row>
    <row r="3543" spans="1:12" ht="43.5" x14ac:dyDescent="0.35">
      <c r="A3543" s="5" t="s">
        <v>4</v>
      </c>
      <c r="B3543" s="5" t="s">
        <v>17</v>
      </c>
      <c r="C3543" s="5" t="s">
        <v>1563</v>
      </c>
      <c r="D3543" s="8" t="s">
        <v>64</v>
      </c>
      <c r="E3543" s="16" t="s">
        <v>75</v>
      </c>
      <c r="F3543" s="16" t="s">
        <v>149</v>
      </c>
      <c r="G3543" s="8" t="s">
        <v>1561</v>
      </c>
      <c r="H3543" s="8" t="s">
        <v>1562</v>
      </c>
      <c r="I3543" s="16" t="s">
        <v>296</v>
      </c>
      <c r="J3543" s="16">
        <v>16.790792925144999</v>
      </c>
      <c r="K3543" s="16">
        <v>-96.554302574133999</v>
      </c>
      <c r="L3543" s="16" t="str">
        <f>HYPERLINK("https://maps.google.com/?q=16.790792925145,-96.554302574134", "🔗 Ver Mapa")</f>
        <v>🔗 Ver Mapa</v>
      </c>
    </row>
    <row r="3544" spans="1:12" ht="43.5" x14ac:dyDescent="0.35">
      <c r="A3544" s="6" t="s">
        <v>4</v>
      </c>
      <c r="B3544" s="6" t="s">
        <v>17</v>
      </c>
      <c r="C3544" s="6" t="s">
        <v>1563</v>
      </c>
      <c r="D3544" s="11" t="s">
        <v>64</v>
      </c>
      <c r="E3544" s="17" t="s">
        <v>75</v>
      </c>
      <c r="F3544" s="17" t="s">
        <v>149</v>
      </c>
      <c r="G3544" s="11" t="s">
        <v>1561</v>
      </c>
      <c r="H3544" s="11" t="s">
        <v>1562</v>
      </c>
      <c r="I3544" s="17" t="s">
        <v>296</v>
      </c>
      <c r="J3544" s="17">
        <v>16.790812928548998</v>
      </c>
      <c r="K3544" s="17">
        <v>-96.554291571687003</v>
      </c>
      <c r="L3544" s="17" t="str">
        <f>HYPERLINK("https://maps.google.com/?q=16.790812928549,-96.554291571687", "🔗 Ver Mapa")</f>
        <v>🔗 Ver Mapa</v>
      </c>
    </row>
    <row r="3545" spans="1:12" ht="43.5" x14ac:dyDescent="0.35">
      <c r="A3545" s="5" t="s">
        <v>4</v>
      </c>
      <c r="B3545" s="5" t="s">
        <v>17</v>
      </c>
      <c r="C3545" s="5" t="s">
        <v>1563</v>
      </c>
      <c r="D3545" s="8" t="s">
        <v>64</v>
      </c>
      <c r="E3545" s="16" t="s">
        <v>75</v>
      </c>
      <c r="F3545" s="16" t="s">
        <v>149</v>
      </c>
      <c r="G3545" s="8" t="s">
        <v>1561</v>
      </c>
      <c r="H3545" s="8" t="s">
        <v>1562</v>
      </c>
      <c r="I3545" s="16" t="s">
        <v>296</v>
      </c>
      <c r="J3545" s="16">
        <v>16.790812929034001</v>
      </c>
      <c r="K3545" s="16">
        <v>-96.554269572861998</v>
      </c>
      <c r="L3545" s="16" t="str">
        <f>HYPERLINK("https://maps.google.com/?q=16.790812929034,-96.554269572862", "🔗 Ver Mapa")</f>
        <v>🔗 Ver Mapa</v>
      </c>
    </row>
    <row r="3546" spans="1:12" ht="43.5" x14ac:dyDescent="0.35">
      <c r="A3546" s="6" t="s">
        <v>4</v>
      </c>
      <c r="B3546" s="6" t="s">
        <v>17</v>
      </c>
      <c r="C3546" s="6" t="s">
        <v>1563</v>
      </c>
      <c r="D3546" s="11" t="s">
        <v>64</v>
      </c>
      <c r="E3546" s="17" t="s">
        <v>75</v>
      </c>
      <c r="F3546" s="17" t="s">
        <v>149</v>
      </c>
      <c r="G3546" s="11" t="s">
        <v>1561</v>
      </c>
      <c r="H3546" s="11" t="s">
        <v>1562</v>
      </c>
      <c r="I3546" s="17" t="s">
        <v>296</v>
      </c>
      <c r="J3546" s="17">
        <v>16.790826928521</v>
      </c>
      <c r="K3546" s="17">
        <v>-96.554259575653006</v>
      </c>
      <c r="L3546" s="17" t="str">
        <f>HYPERLINK("https://maps.google.com/?q=16.790826928521,-96.554259575653", "🔗 Ver Mapa")</f>
        <v>🔗 Ver Mapa</v>
      </c>
    </row>
    <row r="3547" spans="1:12" ht="43.5" x14ac:dyDescent="0.35">
      <c r="A3547" s="5" t="s">
        <v>4</v>
      </c>
      <c r="B3547" s="5" t="s">
        <v>17</v>
      </c>
      <c r="C3547" s="5" t="s">
        <v>1563</v>
      </c>
      <c r="D3547" s="8" t="s">
        <v>64</v>
      </c>
      <c r="E3547" s="16" t="s">
        <v>75</v>
      </c>
      <c r="F3547" s="16" t="s">
        <v>149</v>
      </c>
      <c r="G3547" s="8" t="s">
        <v>1561</v>
      </c>
      <c r="H3547" s="8" t="s">
        <v>1562</v>
      </c>
      <c r="I3547" s="16" t="s">
        <v>296</v>
      </c>
      <c r="J3547" s="16">
        <v>16.790831926111998</v>
      </c>
      <c r="K3547" s="16">
        <v>-96.553706578025</v>
      </c>
      <c r="L3547" s="16" t="str">
        <f>HYPERLINK("https://maps.google.com/?q=16.790831926112,-96.553706578025", "🔗 Ver Mapa")</f>
        <v>🔗 Ver Mapa</v>
      </c>
    </row>
    <row r="3548" spans="1:12" ht="43.5" x14ac:dyDescent="0.35">
      <c r="A3548" s="6" t="s">
        <v>4</v>
      </c>
      <c r="B3548" s="6" t="s">
        <v>17</v>
      </c>
      <c r="C3548" s="6" t="s">
        <v>1563</v>
      </c>
      <c r="D3548" s="11" t="s">
        <v>64</v>
      </c>
      <c r="E3548" s="17" t="s">
        <v>75</v>
      </c>
      <c r="F3548" s="17" t="s">
        <v>149</v>
      </c>
      <c r="G3548" s="11" t="s">
        <v>1561</v>
      </c>
      <c r="H3548" s="11" t="s">
        <v>1562</v>
      </c>
      <c r="I3548" s="17" t="s">
        <v>296</v>
      </c>
      <c r="J3548" s="17">
        <v>16.790840922221999</v>
      </c>
      <c r="K3548" s="17">
        <v>-96.554247571805007</v>
      </c>
      <c r="L3548" s="17" t="str">
        <f>HYPERLINK("https://maps.google.com/?q=16.790840922222,-96.554247571805", "🔗 Ver Mapa")</f>
        <v>🔗 Ver Mapa</v>
      </c>
    </row>
    <row r="3549" spans="1:12" ht="43.5" x14ac:dyDescent="0.35">
      <c r="A3549" s="5" t="s">
        <v>4</v>
      </c>
      <c r="B3549" s="5" t="s">
        <v>17</v>
      </c>
      <c r="C3549" s="5" t="s">
        <v>1563</v>
      </c>
      <c r="D3549" s="8" t="s">
        <v>64</v>
      </c>
      <c r="E3549" s="16" t="s">
        <v>75</v>
      </c>
      <c r="F3549" s="16" t="s">
        <v>149</v>
      </c>
      <c r="G3549" s="8" t="s">
        <v>1561</v>
      </c>
      <c r="H3549" s="8" t="s">
        <v>1562</v>
      </c>
      <c r="I3549" s="16" t="s">
        <v>296</v>
      </c>
      <c r="J3549" s="16">
        <v>16.790860925252002</v>
      </c>
      <c r="K3549" s="16">
        <v>-96.554258577555004</v>
      </c>
      <c r="L3549" s="16" t="str">
        <f>HYPERLINK("https://maps.google.com/?q=16.790860925252,-96.554258577555", "🔗 Ver Mapa")</f>
        <v>🔗 Ver Mapa</v>
      </c>
    </row>
    <row r="3550" spans="1:12" ht="43.5" x14ac:dyDescent="0.35">
      <c r="A3550" s="6" t="s">
        <v>4</v>
      </c>
      <c r="B3550" s="6" t="s">
        <v>17</v>
      </c>
      <c r="C3550" s="6" t="s">
        <v>1563</v>
      </c>
      <c r="D3550" s="11" t="s">
        <v>64</v>
      </c>
      <c r="E3550" s="17" t="s">
        <v>75</v>
      </c>
      <c r="F3550" s="17" t="s">
        <v>149</v>
      </c>
      <c r="G3550" s="11" t="s">
        <v>1561</v>
      </c>
      <c r="H3550" s="11" t="s">
        <v>1562</v>
      </c>
      <c r="I3550" s="17" t="s">
        <v>296</v>
      </c>
      <c r="J3550" s="17">
        <v>16.790879926912002</v>
      </c>
      <c r="K3550" s="17">
        <v>-96.554317569706001</v>
      </c>
      <c r="L3550" s="17" t="str">
        <f>HYPERLINK("https://maps.google.com/?q=16.790879926912,-96.554317569706", "🔗 Ver Mapa")</f>
        <v>🔗 Ver Mapa</v>
      </c>
    </row>
    <row r="3551" spans="1:12" ht="43.5" x14ac:dyDescent="0.35">
      <c r="A3551" s="5" t="s">
        <v>4</v>
      </c>
      <c r="B3551" s="5" t="s">
        <v>17</v>
      </c>
      <c r="C3551" s="5" t="s">
        <v>1563</v>
      </c>
      <c r="D3551" s="8" t="s">
        <v>64</v>
      </c>
      <c r="E3551" s="16" t="s">
        <v>75</v>
      </c>
      <c r="F3551" s="16" t="s">
        <v>149</v>
      </c>
      <c r="G3551" s="8" t="s">
        <v>1561</v>
      </c>
      <c r="H3551" s="8" t="s">
        <v>1562</v>
      </c>
      <c r="I3551" s="16" t="s">
        <v>296</v>
      </c>
      <c r="J3551" s="16">
        <v>16.790882923986999</v>
      </c>
      <c r="K3551" s="16">
        <v>-96.553715573736994</v>
      </c>
      <c r="L3551" s="16" t="str">
        <f>HYPERLINK("https://maps.google.com/?q=16.790882923987,-96.553715573737", "🔗 Ver Mapa")</f>
        <v>🔗 Ver Mapa</v>
      </c>
    </row>
    <row r="3552" spans="1:12" ht="43.5" x14ac:dyDescent="0.35">
      <c r="A3552" s="6" t="s">
        <v>4</v>
      </c>
      <c r="B3552" s="6" t="s">
        <v>17</v>
      </c>
      <c r="C3552" s="6" t="s">
        <v>1563</v>
      </c>
      <c r="D3552" s="11" t="s">
        <v>64</v>
      </c>
      <c r="E3552" s="17" t="s">
        <v>75</v>
      </c>
      <c r="F3552" s="17" t="s">
        <v>149</v>
      </c>
      <c r="G3552" s="11" t="s">
        <v>1561</v>
      </c>
      <c r="H3552" s="11" t="s">
        <v>1562</v>
      </c>
      <c r="I3552" s="17" t="s">
        <v>296</v>
      </c>
      <c r="J3552" s="17">
        <v>16.790894925357001</v>
      </c>
      <c r="K3552" s="17">
        <v>-96.553736574851001</v>
      </c>
      <c r="L3552" s="17" t="str">
        <f>HYPERLINK("https://maps.google.com/?q=16.790894925357,-96.553736574851", "🔗 Ver Mapa")</f>
        <v>🔗 Ver Mapa</v>
      </c>
    </row>
    <row r="3553" spans="1:12" ht="43.5" x14ac:dyDescent="0.35">
      <c r="A3553" s="5" t="s">
        <v>4</v>
      </c>
      <c r="B3553" s="5" t="s">
        <v>17</v>
      </c>
      <c r="C3553" s="5" t="s">
        <v>1563</v>
      </c>
      <c r="D3553" s="8" t="s">
        <v>64</v>
      </c>
      <c r="E3553" s="16" t="s">
        <v>75</v>
      </c>
      <c r="F3553" s="16" t="s">
        <v>149</v>
      </c>
      <c r="G3553" s="8" t="s">
        <v>1561</v>
      </c>
      <c r="H3553" s="8" t="s">
        <v>1562</v>
      </c>
      <c r="I3553" s="16" t="s">
        <v>296</v>
      </c>
      <c r="J3553" s="16">
        <v>16.790922927511001</v>
      </c>
      <c r="K3553" s="16">
        <v>-96.551961570225004</v>
      </c>
      <c r="L3553" s="16" t="str">
        <f>HYPERLINK("https://maps.google.com/?q=16.790922927511,-96.551961570225", "🔗 Ver Mapa")</f>
        <v>🔗 Ver Mapa</v>
      </c>
    </row>
    <row r="3554" spans="1:12" ht="43.5" x14ac:dyDescent="0.35">
      <c r="A3554" s="6" t="s">
        <v>4</v>
      </c>
      <c r="B3554" s="6" t="s">
        <v>17</v>
      </c>
      <c r="C3554" s="6" t="s">
        <v>1563</v>
      </c>
      <c r="D3554" s="11" t="s">
        <v>64</v>
      </c>
      <c r="E3554" s="17" t="s">
        <v>75</v>
      </c>
      <c r="F3554" s="17" t="s">
        <v>149</v>
      </c>
      <c r="G3554" s="11" t="s">
        <v>1561</v>
      </c>
      <c r="H3554" s="11" t="s">
        <v>1562</v>
      </c>
      <c r="I3554" s="17" t="s">
        <v>296</v>
      </c>
      <c r="J3554" s="17">
        <v>16.790924928496</v>
      </c>
      <c r="K3554" s="17">
        <v>-96.554336572810001</v>
      </c>
      <c r="L3554" s="17" t="str">
        <f>HYPERLINK("https://maps.google.com/?q=16.790924928496,-96.55433657281", "🔗 Ver Mapa")</f>
        <v>🔗 Ver Mapa</v>
      </c>
    </row>
    <row r="3555" spans="1:12" ht="43.5" x14ac:dyDescent="0.35">
      <c r="A3555" s="5" t="s">
        <v>4</v>
      </c>
      <c r="B3555" s="5" t="s">
        <v>17</v>
      </c>
      <c r="C3555" s="5" t="s">
        <v>1563</v>
      </c>
      <c r="D3555" s="8" t="s">
        <v>64</v>
      </c>
      <c r="E3555" s="16" t="s">
        <v>75</v>
      </c>
      <c r="F3555" s="16" t="s">
        <v>149</v>
      </c>
      <c r="G3555" s="8" t="s">
        <v>1561</v>
      </c>
      <c r="H3555" s="8" t="s">
        <v>1562</v>
      </c>
      <c r="I3555" s="16" t="s">
        <v>296</v>
      </c>
      <c r="J3555" s="16">
        <v>16.790930924487999</v>
      </c>
      <c r="K3555" s="16">
        <v>-96.553908578432001</v>
      </c>
      <c r="L3555" s="16" t="str">
        <f>HYPERLINK("https://maps.google.com/?q=16.790930924488,-96.553908578432", "🔗 Ver Mapa")</f>
        <v>🔗 Ver Mapa</v>
      </c>
    </row>
    <row r="3556" spans="1:12" ht="43.5" x14ac:dyDescent="0.35">
      <c r="A3556" s="6" t="s">
        <v>4</v>
      </c>
      <c r="B3556" s="6" t="s">
        <v>17</v>
      </c>
      <c r="C3556" s="6" t="s">
        <v>1563</v>
      </c>
      <c r="D3556" s="11" t="s">
        <v>64</v>
      </c>
      <c r="E3556" s="17" t="s">
        <v>75</v>
      </c>
      <c r="F3556" s="17" t="s">
        <v>149</v>
      </c>
      <c r="G3556" s="11" t="s">
        <v>1561</v>
      </c>
      <c r="H3556" s="11" t="s">
        <v>1562</v>
      </c>
      <c r="I3556" s="17" t="s">
        <v>296</v>
      </c>
      <c r="J3556" s="17">
        <v>16.790930926750001</v>
      </c>
      <c r="K3556" s="17">
        <v>-96.553855578669996</v>
      </c>
      <c r="L3556" s="17" t="str">
        <f>HYPERLINK("https://maps.google.com/?q=16.79093092675,-96.55385557867", "🔗 Ver Mapa")</f>
        <v>🔗 Ver Mapa</v>
      </c>
    </row>
    <row r="3557" spans="1:12" ht="43.5" x14ac:dyDescent="0.35">
      <c r="A3557" s="5" t="s">
        <v>4</v>
      </c>
      <c r="B3557" s="5" t="s">
        <v>17</v>
      </c>
      <c r="C3557" s="5" t="s">
        <v>1563</v>
      </c>
      <c r="D3557" s="8" t="s">
        <v>64</v>
      </c>
      <c r="E3557" s="16" t="s">
        <v>75</v>
      </c>
      <c r="F3557" s="16" t="s">
        <v>149</v>
      </c>
      <c r="G3557" s="8" t="s">
        <v>1561</v>
      </c>
      <c r="H3557" s="8" t="s">
        <v>1562</v>
      </c>
      <c r="I3557" s="16" t="s">
        <v>296</v>
      </c>
      <c r="J3557" s="16">
        <v>16.790953926019</v>
      </c>
      <c r="K3557" s="16">
        <v>-96.554017574626002</v>
      </c>
      <c r="L3557" s="16" t="str">
        <f>HYPERLINK("https://maps.google.com/?q=16.790953926019,-96.554017574626", "🔗 Ver Mapa")</f>
        <v>🔗 Ver Mapa</v>
      </c>
    </row>
    <row r="3558" spans="1:12" ht="43.5" x14ac:dyDescent="0.35">
      <c r="A3558" s="6" t="s">
        <v>4</v>
      </c>
      <c r="B3558" s="6" t="s">
        <v>17</v>
      </c>
      <c r="C3558" s="6" t="s">
        <v>1563</v>
      </c>
      <c r="D3558" s="11" t="s">
        <v>64</v>
      </c>
      <c r="E3558" s="17" t="s">
        <v>75</v>
      </c>
      <c r="F3558" s="17" t="s">
        <v>149</v>
      </c>
      <c r="G3558" s="11" t="s">
        <v>1561</v>
      </c>
      <c r="H3558" s="11" t="s">
        <v>1562</v>
      </c>
      <c r="I3558" s="17" t="s">
        <v>296</v>
      </c>
      <c r="J3558" s="17">
        <v>16.790988928760999</v>
      </c>
      <c r="K3558" s="17">
        <v>-96.551951571901</v>
      </c>
      <c r="L3558" s="17" t="str">
        <f>HYPERLINK("https://maps.google.com/?q=16.790988928761,-96.551951571901", "🔗 Ver Mapa")</f>
        <v>🔗 Ver Mapa</v>
      </c>
    </row>
    <row r="3559" spans="1:12" ht="43.5" x14ac:dyDescent="0.35">
      <c r="A3559" s="5" t="s">
        <v>4</v>
      </c>
      <c r="B3559" s="5" t="s">
        <v>17</v>
      </c>
      <c r="C3559" s="5" t="s">
        <v>1563</v>
      </c>
      <c r="D3559" s="8" t="s">
        <v>64</v>
      </c>
      <c r="E3559" s="16" t="s">
        <v>75</v>
      </c>
      <c r="F3559" s="16" t="s">
        <v>149</v>
      </c>
      <c r="G3559" s="8" t="s">
        <v>1561</v>
      </c>
      <c r="H3559" s="8" t="s">
        <v>1562</v>
      </c>
      <c r="I3559" s="16" t="s">
        <v>296</v>
      </c>
      <c r="J3559" s="16">
        <v>16.790991923116</v>
      </c>
      <c r="K3559" s="16">
        <v>-96.554386576458995</v>
      </c>
      <c r="L3559" s="16" t="str">
        <f>HYPERLINK("https://maps.google.com/?q=16.790991923116,-96.554386576459", "🔗 Ver Mapa")</f>
        <v>🔗 Ver Mapa</v>
      </c>
    </row>
    <row r="3560" spans="1:12" ht="43.5" x14ac:dyDescent="0.35">
      <c r="A3560" s="6" t="s">
        <v>4</v>
      </c>
      <c r="B3560" s="6" t="s">
        <v>17</v>
      </c>
      <c r="C3560" s="6" t="s">
        <v>1563</v>
      </c>
      <c r="D3560" s="11" t="s">
        <v>64</v>
      </c>
      <c r="E3560" s="17" t="s">
        <v>75</v>
      </c>
      <c r="F3560" s="17" t="s">
        <v>149</v>
      </c>
      <c r="G3560" s="11" t="s">
        <v>1561</v>
      </c>
      <c r="H3560" s="11" t="s">
        <v>1562</v>
      </c>
      <c r="I3560" s="17" t="s">
        <v>296</v>
      </c>
      <c r="J3560" s="17">
        <v>16.791001925130999</v>
      </c>
      <c r="K3560" s="17">
        <v>-96.554102573283998</v>
      </c>
      <c r="L3560" s="17" t="str">
        <f>HYPERLINK("https://maps.google.com/?q=16.791001925131,-96.554102573284", "🔗 Ver Mapa")</f>
        <v>🔗 Ver Mapa</v>
      </c>
    </row>
    <row r="3561" spans="1:12" ht="43.5" x14ac:dyDescent="0.35">
      <c r="A3561" s="5" t="s">
        <v>4</v>
      </c>
      <c r="B3561" s="5" t="s">
        <v>17</v>
      </c>
      <c r="C3561" s="5" t="s">
        <v>1563</v>
      </c>
      <c r="D3561" s="8" t="s">
        <v>64</v>
      </c>
      <c r="E3561" s="16" t="s">
        <v>75</v>
      </c>
      <c r="F3561" s="16" t="s">
        <v>149</v>
      </c>
      <c r="G3561" s="8" t="s">
        <v>1561</v>
      </c>
      <c r="H3561" s="8" t="s">
        <v>1562</v>
      </c>
      <c r="I3561" s="16" t="s">
        <v>296</v>
      </c>
      <c r="J3561" s="16">
        <v>16.791017928978999</v>
      </c>
      <c r="K3561" s="16">
        <v>-96.554193570628996</v>
      </c>
      <c r="L3561" s="16" t="str">
        <f>HYPERLINK("https://maps.google.com/?q=16.791017928979,-96.554193570629", "🔗 Ver Mapa")</f>
        <v>🔗 Ver Mapa</v>
      </c>
    </row>
    <row r="3562" spans="1:12" ht="43.5" x14ac:dyDescent="0.35">
      <c r="A3562" s="6" t="s">
        <v>4</v>
      </c>
      <c r="B3562" s="6" t="s">
        <v>17</v>
      </c>
      <c r="C3562" s="6" t="s">
        <v>1563</v>
      </c>
      <c r="D3562" s="11" t="s">
        <v>64</v>
      </c>
      <c r="E3562" s="17" t="s">
        <v>75</v>
      </c>
      <c r="F3562" s="17" t="s">
        <v>149</v>
      </c>
      <c r="G3562" s="11" t="s">
        <v>1561</v>
      </c>
      <c r="H3562" s="11" t="s">
        <v>1562</v>
      </c>
      <c r="I3562" s="17" t="s">
        <v>296</v>
      </c>
      <c r="J3562" s="17">
        <v>16.791023928243</v>
      </c>
      <c r="K3562" s="17">
        <v>-96.554222572387999</v>
      </c>
      <c r="L3562" s="17" t="str">
        <f>HYPERLINK("https://maps.google.com/?q=16.791023928243,-96.554222572388", "🔗 Ver Mapa")</f>
        <v>🔗 Ver Mapa</v>
      </c>
    </row>
    <row r="3563" spans="1:12" ht="43.5" x14ac:dyDescent="0.35">
      <c r="A3563" s="5" t="s">
        <v>4</v>
      </c>
      <c r="B3563" s="5" t="s">
        <v>17</v>
      </c>
      <c r="C3563" s="5" t="s">
        <v>1563</v>
      </c>
      <c r="D3563" s="8" t="s">
        <v>64</v>
      </c>
      <c r="E3563" s="16" t="s">
        <v>75</v>
      </c>
      <c r="F3563" s="16" t="s">
        <v>149</v>
      </c>
      <c r="G3563" s="8" t="s">
        <v>1561</v>
      </c>
      <c r="H3563" s="8" t="s">
        <v>1562</v>
      </c>
      <c r="I3563" s="16" t="s">
        <v>296</v>
      </c>
      <c r="J3563" s="16">
        <v>16.791041929173002</v>
      </c>
      <c r="K3563" s="16">
        <v>-96.551959575612003</v>
      </c>
      <c r="L3563" s="16" t="str">
        <f>HYPERLINK("https://maps.google.com/?q=16.791041929173,-96.551959575612", "🔗 Ver Mapa")</f>
        <v>🔗 Ver Mapa</v>
      </c>
    </row>
    <row r="3564" spans="1:12" ht="43.5" x14ac:dyDescent="0.35">
      <c r="A3564" s="6" t="s">
        <v>4</v>
      </c>
      <c r="B3564" s="6" t="s">
        <v>17</v>
      </c>
      <c r="C3564" s="6" t="s">
        <v>1563</v>
      </c>
      <c r="D3564" s="11" t="s">
        <v>64</v>
      </c>
      <c r="E3564" s="17" t="s">
        <v>75</v>
      </c>
      <c r="F3564" s="17" t="s">
        <v>149</v>
      </c>
      <c r="G3564" s="11" t="s">
        <v>1561</v>
      </c>
      <c r="H3564" s="11" t="s">
        <v>1562</v>
      </c>
      <c r="I3564" s="17" t="s">
        <v>296</v>
      </c>
      <c r="J3564" s="17">
        <v>16.791070930351999</v>
      </c>
      <c r="K3564" s="17">
        <v>-96.554404572017006</v>
      </c>
      <c r="L3564" s="17" t="str">
        <f>HYPERLINK("https://maps.google.com/?q=16.791070930352,-96.554404572017", "🔗 Ver Mapa")</f>
        <v>🔗 Ver Mapa</v>
      </c>
    </row>
    <row r="3565" spans="1:12" ht="43.5" x14ac:dyDescent="0.35">
      <c r="A3565" s="5" t="s">
        <v>4</v>
      </c>
      <c r="B3565" s="5" t="s">
        <v>17</v>
      </c>
      <c r="C3565" s="5" t="s">
        <v>1563</v>
      </c>
      <c r="D3565" s="8" t="s">
        <v>64</v>
      </c>
      <c r="E3565" s="16" t="s">
        <v>75</v>
      </c>
      <c r="F3565" s="16" t="s">
        <v>149</v>
      </c>
      <c r="G3565" s="8" t="s">
        <v>1561</v>
      </c>
      <c r="H3565" s="8" t="s">
        <v>1562</v>
      </c>
      <c r="I3565" s="16" t="s">
        <v>296</v>
      </c>
      <c r="J3565" s="16">
        <v>16.791090923351</v>
      </c>
      <c r="K3565" s="16">
        <v>-96.554383573625003</v>
      </c>
      <c r="L3565" s="16" t="str">
        <f>HYPERLINK("https://maps.google.com/?q=16.791090923351,-96.554383573625", "🔗 Ver Mapa")</f>
        <v>🔗 Ver Mapa</v>
      </c>
    </row>
    <row r="3566" spans="1:12" ht="43.5" x14ac:dyDescent="0.35">
      <c r="A3566" s="6" t="s">
        <v>4</v>
      </c>
      <c r="B3566" s="6" t="s">
        <v>17</v>
      </c>
      <c r="C3566" s="6" t="s">
        <v>1563</v>
      </c>
      <c r="D3566" s="11" t="s">
        <v>64</v>
      </c>
      <c r="E3566" s="17" t="s">
        <v>75</v>
      </c>
      <c r="F3566" s="17" t="s">
        <v>149</v>
      </c>
      <c r="G3566" s="11" t="s">
        <v>1561</v>
      </c>
      <c r="H3566" s="11" t="s">
        <v>1562</v>
      </c>
      <c r="I3566" s="17" t="s">
        <v>296</v>
      </c>
      <c r="J3566" s="17">
        <v>16.791093924618</v>
      </c>
      <c r="K3566" s="17">
        <v>-96.554330572897996</v>
      </c>
      <c r="L3566" s="17" t="str">
        <f>HYPERLINK("https://maps.google.com/?q=16.791093924618,-96.554330572898", "🔗 Ver Mapa")</f>
        <v>🔗 Ver Mapa</v>
      </c>
    </row>
    <row r="3567" spans="1:12" ht="43.5" x14ac:dyDescent="0.35">
      <c r="A3567" s="5" t="s">
        <v>4</v>
      </c>
      <c r="B3567" s="5" t="s">
        <v>17</v>
      </c>
      <c r="C3567" s="5" t="s">
        <v>1563</v>
      </c>
      <c r="D3567" s="8" t="s">
        <v>64</v>
      </c>
      <c r="E3567" s="16" t="s">
        <v>75</v>
      </c>
      <c r="F3567" s="16" t="s">
        <v>149</v>
      </c>
      <c r="G3567" s="8" t="s">
        <v>1561</v>
      </c>
      <c r="H3567" s="8" t="s">
        <v>1562</v>
      </c>
      <c r="I3567" s="16" t="s">
        <v>296</v>
      </c>
      <c r="J3567" s="16">
        <v>16.791138923057002</v>
      </c>
      <c r="K3567" s="16">
        <v>-96.551921573537001</v>
      </c>
      <c r="L3567" s="16" t="str">
        <f>HYPERLINK("https://maps.google.com/?q=16.791138923057,-96.551921573537", "🔗 Ver Mapa")</f>
        <v>🔗 Ver Mapa</v>
      </c>
    </row>
    <row r="3568" spans="1:12" ht="43.5" x14ac:dyDescent="0.35">
      <c r="A3568" s="6" t="s">
        <v>4</v>
      </c>
      <c r="B3568" s="6" t="s">
        <v>17</v>
      </c>
      <c r="C3568" s="6" t="s">
        <v>1563</v>
      </c>
      <c r="D3568" s="11" t="s">
        <v>64</v>
      </c>
      <c r="E3568" s="17" t="s">
        <v>75</v>
      </c>
      <c r="F3568" s="17" t="s">
        <v>149</v>
      </c>
      <c r="G3568" s="11" t="s">
        <v>1561</v>
      </c>
      <c r="H3568" s="11" t="s">
        <v>1562</v>
      </c>
      <c r="I3568" s="17" t="s">
        <v>296</v>
      </c>
      <c r="J3568" s="17">
        <v>16.791251929103002</v>
      </c>
      <c r="K3568" s="17">
        <v>-96.551904577265006</v>
      </c>
      <c r="L3568" s="17" t="str">
        <f>HYPERLINK("https://maps.google.com/?q=16.791251929103,-96.551904577265", "🔗 Ver Mapa")</f>
        <v>🔗 Ver Mapa</v>
      </c>
    </row>
    <row r="3569" spans="1:12" ht="43.5" x14ac:dyDescent="0.35">
      <c r="A3569" s="5" t="s">
        <v>4</v>
      </c>
      <c r="B3569" s="5" t="s">
        <v>17</v>
      </c>
      <c r="C3569" s="5" t="s">
        <v>1563</v>
      </c>
      <c r="D3569" s="8" t="s">
        <v>64</v>
      </c>
      <c r="E3569" s="16" t="s">
        <v>75</v>
      </c>
      <c r="F3569" s="16" t="s">
        <v>149</v>
      </c>
      <c r="G3569" s="8" t="s">
        <v>1561</v>
      </c>
      <c r="H3569" s="8" t="s">
        <v>1562</v>
      </c>
      <c r="I3569" s="16" t="s">
        <v>296</v>
      </c>
      <c r="J3569" s="16">
        <v>16.791399924402999</v>
      </c>
      <c r="K3569" s="16">
        <v>-96.551892571093006</v>
      </c>
      <c r="L3569" s="16" t="str">
        <f>HYPERLINK("https://maps.google.com/?q=16.791399924403,-96.551892571093", "🔗 Ver Mapa")</f>
        <v>🔗 Ver Mapa</v>
      </c>
    </row>
    <row r="3570" spans="1:12" ht="43.5" x14ac:dyDescent="0.35">
      <c r="A3570" s="6" t="s">
        <v>4</v>
      </c>
      <c r="B3570" s="6" t="s">
        <v>17</v>
      </c>
      <c r="C3570" s="6" t="s">
        <v>1563</v>
      </c>
      <c r="D3570" s="11" t="s">
        <v>64</v>
      </c>
      <c r="E3570" s="17" t="s">
        <v>75</v>
      </c>
      <c r="F3570" s="17" t="s">
        <v>149</v>
      </c>
      <c r="G3570" s="11" t="s">
        <v>1561</v>
      </c>
      <c r="H3570" s="11" t="s">
        <v>1562</v>
      </c>
      <c r="I3570" s="17" t="s">
        <v>296</v>
      </c>
      <c r="J3570" s="17">
        <v>16.791497923219001</v>
      </c>
      <c r="K3570" s="17">
        <v>-96.551921574711002</v>
      </c>
      <c r="L3570" s="17" t="str">
        <f>HYPERLINK("https://maps.google.com/?q=16.791497923219,-96.551921574711", "🔗 Ver Mapa")</f>
        <v>🔗 Ver Mapa</v>
      </c>
    </row>
    <row r="3571" spans="1:12" ht="43.5" x14ac:dyDescent="0.35">
      <c r="A3571" s="5" t="s">
        <v>4</v>
      </c>
      <c r="B3571" s="5" t="s">
        <v>17</v>
      </c>
      <c r="C3571" s="5" t="s">
        <v>1563</v>
      </c>
      <c r="D3571" s="8" t="s">
        <v>64</v>
      </c>
      <c r="E3571" s="16" t="s">
        <v>75</v>
      </c>
      <c r="F3571" s="16" t="s">
        <v>149</v>
      </c>
      <c r="G3571" s="8" t="s">
        <v>1561</v>
      </c>
      <c r="H3571" s="8" t="s">
        <v>1562</v>
      </c>
      <c r="I3571" s="16" t="s">
        <v>296</v>
      </c>
      <c r="J3571" s="16">
        <v>16.791521926007999</v>
      </c>
      <c r="K3571" s="16">
        <v>-96.551903572206996</v>
      </c>
      <c r="L3571" s="16" t="str">
        <f>HYPERLINK("https://maps.google.com/?q=16.791521926008,-96.551903572207", "🔗 Ver Mapa")</f>
        <v>🔗 Ver Mapa</v>
      </c>
    </row>
    <row r="3572" spans="1:12" ht="43.5" x14ac:dyDescent="0.35">
      <c r="A3572" s="6" t="s">
        <v>4</v>
      </c>
      <c r="B3572" s="6" t="s">
        <v>17</v>
      </c>
      <c r="C3572" s="6" t="s">
        <v>1563</v>
      </c>
      <c r="D3572" s="11" t="s">
        <v>64</v>
      </c>
      <c r="E3572" s="17" t="s">
        <v>75</v>
      </c>
      <c r="F3572" s="17" t="s">
        <v>149</v>
      </c>
      <c r="G3572" s="11" t="s">
        <v>1561</v>
      </c>
      <c r="H3572" s="11" t="s">
        <v>1562</v>
      </c>
      <c r="I3572" s="17" t="s">
        <v>296</v>
      </c>
      <c r="J3572" s="17">
        <v>16.791528924872999</v>
      </c>
      <c r="K3572" s="17">
        <v>-96.551893570784998</v>
      </c>
      <c r="L3572" s="17" t="str">
        <f>HYPERLINK("https://maps.google.com/?q=16.791528924873,-96.551893570785", "🔗 Ver Mapa")</f>
        <v>🔗 Ver Mapa</v>
      </c>
    </row>
    <row r="3573" spans="1:12" ht="43.5" x14ac:dyDescent="0.35">
      <c r="A3573" s="5" t="s">
        <v>4</v>
      </c>
      <c r="B3573" s="5" t="s">
        <v>17</v>
      </c>
      <c r="C3573" s="5" t="s">
        <v>1563</v>
      </c>
      <c r="D3573" s="8" t="s">
        <v>64</v>
      </c>
      <c r="E3573" s="16" t="s">
        <v>75</v>
      </c>
      <c r="F3573" s="16" t="s">
        <v>149</v>
      </c>
      <c r="G3573" s="8" t="s">
        <v>1561</v>
      </c>
      <c r="H3573" s="8" t="s">
        <v>1562</v>
      </c>
      <c r="I3573" s="16" t="s">
        <v>296</v>
      </c>
      <c r="J3573" s="16">
        <v>16.791911929213999</v>
      </c>
      <c r="K3573" s="16">
        <v>-96.551721576849999</v>
      </c>
      <c r="L3573" s="16" t="str">
        <f>HYPERLINK("https://maps.google.com/?q=16.791911929214,-96.55172157685", "🔗 Ver Mapa")</f>
        <v>🔗 Ver Mapa</v>
      </c>
    </row>
    <row r="3574" spans="1:12" ht="43.5" x14ac:dyDescent="0.35">
      <c r="A3574" s="6" t="s">
        <v>4</v>
      </c>
      <c r="B3574" s="6" t="s">
        <v>17</v>
      </c>
      <c r="C3574" s="6" t="s">
        <v>1563</v>
      </c>
      <c r="D3574" s="11" t="s">
        <v>64</v>
      </c>
      <c r="E3574" s="17" t="s">
        <v>75</v>
      </c>
      <c r="F3574" s="17" t="s">
        <v>149</v>
      </c>
      <c r="G3574" s="11" t="s">
        <v>1561</v>
      </c>
      <c r="H3574" s="11" t="s">
        <v>1562</v>
      </c>
      <c r="I3574" s="17" t="s">
        <v>296</v>
      </c>
      <c r="J3574" s="17">
        <v>16.791992924648</v>
      </c>
      <c r="K3574" s="17">
        <v>-96.551733572532001</v>
      </c>
      <c r="L3574" s="17" t="str">
        <f>HYPERLINK("https://maps.google.com/?q=16.791992924648,-96.551733572532", "🔗 Ver Mapa")</f>
        <v>🔗 Ver Mapa</v>
      </c>
    </row>
    <row r="3575" spans="1:12" ht="43.5" x14ac:dyDescent="0.35">
      <c r="A3575" s="5" t="s">
        <v>4</v>
      </c>
      <c r="B3575" s="5" t="s">
        <v>17</v>
      </c>
      <c r="C3575" s="5" t="s">
        <v>1563</v>
      </c>
      <c r="D3575" s="8" t="s">
        <v>64</v>
      </c>
      <c r="E3575" s="16" t="s">
        <v>75</v>
      </c>
      <c r="F3575" s="16" t="s">
        <v>149</v>
      </c>
      <c r="G3575" s="8" t="s">
        <v>1561</v>
      </c>
      <c r="H3575" s="8" t="s">
        <v>1562</v>
      </c>
      <c r="I3575" s="16" t="s">
        <v>296</v>
      </c>
      <c r="J3575" s="16">
        <v>16.792054923816998</v>
      </c>
      <c r="K3575" s="16">
        <v>-96.551830572390998</v>
      </c>
      <c r="L3575" s="16" t="str">
        <f>HYPERLINK("https://maps.google.com/?q=16.792054923817,-96.551830572391", "🔗 Ver Mapa")</f>
        <v>🔗 Ver Mapa</v>
      </c>
    </row>
    <row r="3576" spans="1:12" ht="43.5" x14ac:dyDescent="0.35">
      <c r="A3576" s="6" t="s">
        <v>4</v>
      </c>
      <c r="B3576" s="6" t="s">
        <v>17</v>
      </c>
      <c r="C3576" s="6" t="s">
        <v>1563</v>
      </c>
      <c r="D3576" s="11" t="s">
        <v>64</v>
      </c>
      <c r="E3576" s="17" t="s">
        <v>75</v>
      </c>
      <c r="F3576" s="17" t="s">
        <v>149</v>
      </c>
      <c r="G3576" s="11" t="s">
        <v>1561</v>
      </c>
      <c r="H3576" s="11" t="s">
        <v>1562</v>
      </c>
      <c r="I3576" s="17" t="s">
        <v>296</v>
      </c>
      <c r="J3576" s="17">
        <v>16.792123926373002</v>
      </c>
      <c r="K3576" s="17">
        <v>-96.551783579833995</v>
      </c>
      <c r="L3576" s="17" t="str">
        <f>HYPERLINK("https://maps.google.com/?q=16.792123926373,-96.551783579834", "🔗 Ver Mapa")</f>
        <v>🔗 Ver Mapa</v>
      </c>
    </row>
    <row r="3577" spans="1:12" ht="43.5" x14ac:dyDescent="0.35">
      <c r="A3577" s="5" t="s">
        <v>4</v>
      </c>
      <c r="B3577" s="5" t="s">
        <v>17</v>
      </c>
      <c r="C3577" s="5" t="s">
        <v>1563</v>
      </c>
      <c r="D3577" s="8" t="s">
        <v>64</v>
      </c>
      <c r="E3577" s="16" t="s">
        <v>75</v>
      </c>
      <c r="F3577" s="16" t="s">
        <v>149</v>
      </c>
      <c r="G3577" s="8" t="s">
        <v>1561</v>
      </c>
      <c r="H3577" s="8" t="s">
        <v>1562</v>
      </c>
      <c r="I3577" s="16" t="s">
        <v>296</v>
      </c>
      <c r="J3577" s="16">
        <v>16.792125931920999</v>
      </c>
      <c r="K3577" s="16">
        <v>-96.551698577834998</v>
      </c>
      <c r="L3577" s="16" t="str">
        <f>HYPERLINK("https://maps.google.com/?q=16.792125931921,-96.551698577835", "🔗 Ver Mapa")</f>
        <v>🔗 Ver Mapa</v>
      </c>
    </row>
    <row r="3578" spans="1:12" ht="43.5" x14ac:dyDescent="0.35">
      <c r="A3578" s="6" t="s">
        <v>4</v>
      </c>
      <c r="B3578" s="6" t="s">
        <v>17</v>
      </c>
      <c r="C3578" s="6" t="s">
        <v>1563</v>
      </c>
      <c r="D3578" s="11" t="s">
        <v>64</v>
      </c>
      <c r="E3578" s="17" t="s">
        <v>75</v>
      </c>
      <c r="F3578" s="17" t="s">
        <v>149</v>
      </c>
      <c r="G3578" s="11" t="s">
        <v>1561</v>
      </c>
      <c r="H3578" s="11" t="s">
        <v>1562</v>
      </c>
      <c r="I3578" s="17" t="s">
        <v>296</v>
      </c>
      <c r="J3578" s="17">
        <v>16.792191930091999</v>
      </c>
      <c r="K3578" s="17">
        <v>-96.551542576131993</v>
      </c>
      <c r="L3578" s="17" t="str">
        <f>HYPERLINK("https://maps.google.com/?q=16.792191930092,-96.551542576132", "🔗 Ver Mapa")</f>
        <v>🔗 Ver Mapa</v>
      </c>
    </row>
    <row r="3579" spans="1:12" ht="43.5" x14ac:dyDescent="0.35">
      <c r="A3579" s="5" t="s">
        <v>4</v>
      </c>
      <c r="B3579" s="5" t="s">
        <v>17</v>
      </c>
      <c r="C3579" s="5" t="s">
        <v>1563</v>
      </c>
      <c r="D3579" s="8" t="s">
        <v>64</v>
      </c>
      <c r="E3579" s="16" t="s">
        <v>75</v>
      </c>
      <c r="F3579" s="16" t="s">
        <v>149</v>
      </c>
      <c r="G3579" s="8" t="s">
        <v>1561</v>
      </c>
      <c r="H3579" s="8" t="s">
        <v>1562</v>
      </c>
      <c r="I3579" s="16" t="s">
        <v>296</v>
      </c>
      <c r="J3579" s="16">
        <v>16.793033925909</v>
      </c>
      <c r="K3579" s="16">
        <v>-96.551294580052001</v>
      </c>
      <c r="L3579" s="16" t="str">
        <f>HYPERLINK("https://maps.google.com/?q=16.793033925909,-96.551294580052", "🔗 Ver Mapa")</f>
        <v>🔗 Ver Mapa</v>
      </c>
    </row>
    <row r="3580" spans="1:12" ht="43.5" x14ac:dyDescent="0.35">
      <c r="A3580" s="6" t="s">
        <v>4</v>
      </c>
      <c r="B3580" s="6" t="s">
        <v>17</v>
      </c>
      <c r="C3580" s="6" t="s">
        <v>1563</v>
      </c>
      <c r="D3580" s="11" t="s">
        <v>64</v>
      </c>
      <c r="E3580" s="17" t="s">
        <v>75</v>
      </c>
      <c r="F3580" s="17" t="s">
        <v>149</v>
      </c>
      <c r="G3580" s="11" t="s">
        <v>1561</v>
      </c>
      <c r="H3580" s="11" t="s">
        <v>1562</v>
      </c>
      <c r="I3580" s="17" t="s">
        <v>296</v>
      </c>
      <c r="J3580" s="17">
        <v>16.793119925957001</v>
      </c>
      <c r="K3580" s="17">
        <v>-96.551303576278997</v>
      </c>
      <c r="L3580" s="17" t="str">
        <f>HYPERLINK("https://maps.google.com/?q=16.793119925957,-96.551303576279", "🔗 Ver Mapa")</f>
        <v>🔗 Ver Mapa</v>
      </c>
    </row>
    <row r="3581" spans="1:12" ht="43.5" x14ac:dyDescent="0.35">
      <c r="A3581" s="5" t="s">
        <v>4</v>
      </c>
      <c r="B3581" s="5" t="s">
        <v>17</v>
      </c>
      <c r="C3581" s="5" t="s">
        <v>1563</v>
      </c>
      <c r="D3581" s="8" t="s">
        <v>64</v>
      </c>
      <c r="E3581" s="16" t="s">
        <v>75</v>
      </c>
      <c r="F3581" s="16" t="s">
        <v>149</v>
      </c>
      <c r="G3581" s="8" t="s">
        <v>1561</v>
      </c>
      <c r="H3581" s="8" t="s">
        <v>1562</v>
      </c>
      <c r="I3581" s="16" t="s">
        <v>296</v>
      </c>
      <c r="J3581" s="16">
        <v>16.793243923948001</v>
      </c>
      <c r="K3581" s="16">
        <v>-96.551292580421006</v>
      </c>
      <c r="L3581" s="16" t="str">
        <f>HYPERLINK("https://maps.google.com/?q=16.793243923948,-96.551292580421", "🔗 Ver Mapa")</f>
        <v>🔗 Ver Mapa</v>
      </c>
    </row>
    <row r="3582" spans="1:12" ht="43.5" x14ac:dyDescent="0.35">
      <c r="A3582" s="6" t="s">
        <v>4</v>
      </c>
      <c r="B3582" s="6" t="s">
        <v>17</v>
      </c>
      <c r="C3582" s="6" t="s">
        <v>1564</v>
      </c>
      <c r="D3582" s="11" t="s">
        <v>64</v>
      </c>
      <c r="E3582" s="17" t="s">
        <v>74</v>
      </c>
      <c r="F3582" s="17" t="s">
        <v>453</v>
      </c>
      <c r="G3582" s="11" t="s">
        <v>1259</v>
      </c>
      <c r="H3582" s="11" t="s">
        <v>1565</v>
      </c>
      <c r="I3582" s="17" t="s">
        <v>296</v>
      </c>
      <c r="J3582" s="17">
        <v>16.202711099999998</v>
      </c>
      <c r="K3582" s="17">
        <v>-97.526375000000002</v>
      </c>
      <c r="L3582" s="17" t="str">
        <f>HYPERLINK("https://maps.google.com/?q=16.2027111,-97.526375", "🔗 Ver Mapa")</f>
        <v>🔗 Ver Mapa</v>
      </c>
    </row>
    <row r="3583" spans="1:12" ht="43.5" x14ac:dyDescent="0.35">
      <c r="A3583" s="5" t="s">
        <v>4</v>
      </c>
      <c r="B3583" s="5" t="s">
        <v>17</v>
      </c>
      <c r="C3583" s="5" t="s">
        <v>1564</v>
      </c>
      <c r="D3583" s="8" t="s">
        <v>64</v>
      </c>
      <c r="E3583" s="16" t="s">
        <v>74</v>
      </c>
      <c r="F3583" s="16" t="s">
        <v>453</v>
      </c>
      <c r="G3583" s="8" t="s">
        <v>1259</v>
      </c>
      <c r="H3583" s="8" t="s">
        <v>1565</v>
      </c>
      <c r="I3583" s="16" t="s">
        <v>296</v>
      </c>
      <c r="J3583" s="16">
        <v>16.202846099999999</v>
      </c>
      <c r="K3583" s="16">
        <v>-97.526762000000005</v>
      </c>
      <c r="L3583" s="16" t="str">
        <f>HYPERLINK("https://maps.google.com/?q=16.2028461,-97.526762", "🔗 Ver Mapa")</f>
        <v>🔗 Ver Mapa</v>
      </c>
    </row>
    <row r="3584" spans="1:12" ht="43.5" x14ac:dyDescent="0.35">
      <c r="A3584" s="6" t="s">
        <v>4</v>
      </c>
      <c r="B3584" s="6" t="s">
        <v>17</v>
      </c>
      <c r="C3584" s="6" t="s">
        <v>1564</v>
      </c>
      <c r="D3584" s="11" t="s">
        <v>64</v>
      </c>
      <c r="E3584" s="17" t="s">
        <v>74</v>
      </c>
      <c r="F3584" s="17" t="s">
        <v>453</v>
      </c>
      <c r="G3584" s="11" t="s">
        <v>1259</v>
      </c>
      <c r="H3584" s="11" t="s">
        <v>1565</v>
      </c>
      <c r="I3584" s="17" t="s">
        <v>296</v>
      </c>
      <c r="J3584" s="17">
        <v>16.203001100000002</v>
      </c>
      <c r="K3584" s="17">
        <v>-97.527182999999994</v>
      </c>
      <c r="L3584" s="17" t="str">
        <f>HYPERLINK("https://maps.google.com/?q=16.2030011,-97.527183", "🔗 Ver Mapa")</f>
        <v>🔗 Ver Mapa</v>
      </c>
    </row>
    <row r="3585" spans="1:12" ht="43.5" x14ac:dyDescent="0.35">
      <c r="A3585" s="5" t="s">
        <v>4</v>
      </c>
      <c r="B3585" s="5" t="s">
        <v>17</v>
      </c>
      <c r="C3585" s="5" t="s">
        <v>1564</v>
      </c>
      <c r="D3585" s="8" t="s">
        <v>64</v>
      </c>
      <c r="E3585" s="16" t="s">
        <v>74</v>
      </c>
      <c r="F3585" s="16" t="s">
        <v>453</v>
      </c>
      <c r="G3585" s="8" t="s">
        <v>1259</v>
      </c>
      <c r="H3585" s="8" t="s">
        <v>1565</v>
      </c>
      <c r="I3585" s="16" t="s">
        <v>296</v>
      </c>
      <c r="J3585" s="16">
        <v>16.203123099999999</v>
      </c>
      <c r="K3585" s="16">
        <v>-97.527510000000007</v>
      </c>
      <c r="L3585" s="16" t="str">
        <f>HYPERLINK("https://maps.google.com/?q=16.2031231,-97.52751", "🔗 Ver Mapa")</f>
        <v>🔗 Ver Mapa</v>
      </c>
    </row>
    <row r="3586" spans="1:12" ht="43.5" x14ac:dyDescent="0.35">
      <c r="A3586" s="6" t="s">
        <v>4</v>
      </c>
      <c r="B3586" s="6" t="s">
        <v>17</v>
      </c>
      <c r="C3586" s="6" t="s">
        <v>1564</v>
      </c>
      <c r="D3586" s="11" t="s">
        <v>64</v>
      </c>
      <c r="E3586" s="17" t="s">
        <v>74</v>
      </c>
      <c r="F3586" s="17" t="s">
        <v>453</v>
      </c>
      <c r="G3586" s="11" t="s">
        <v>1259</v>
      </c>
      <c r="H3586" s="11" t="s">
        <v>1565</v>
      </c>
      <c r="I3586" s="17" t="s">
        <v>296</v>
      </c>
      <c r="J3586" s="17">
        <v>16.203274</v>
      </c>
      <c r="K3586" s="17">
        <v>-97.527741000000006</v>
      </c>
      <c r="L3586" s="17" t="str">
        <f>HYPERLINK("https://maps.google.com/?q=16.203274,-97.527741", "🔗 Ver Mapa")</f>
        <v>🔗 Ver Mapa</v>
      </c>
    </row>
    <row r="3587" spans="1:12" ht="43.5" x14ac:dyDescent="0.35">
      <c r="A3587" s="5" t="s">
        <v>4</v>
      </c>
      <c r="B3587" s="5" t="s">
        <v>17</v>
      </c>
      <c r="C3587" s="5" t="s">
        <v>1564</v>
      </c>
      <c r="D3587" s="8" t="s">
        <v>64</v>
      </c>
      <c r="E3587" s="16" t="s">
        <v>74</v>
      </c>
      <c r="F3587" s="16" t="s">
        <v>453</v>
      </c>
      <c r="G3587" s="8" t="s">
        <v>1259</v>
      </c>
      <c r="H3587" s="8" t="s">
        <v>1565</v>
      </c>
      <c r="I3587" s="16" t="s">
        <v>296</v>
      </c>
      <c r="J3587" s="16">
        <v>16.203455099999999</v>
      </c>
      <c r="K3587" s="16">
        <v>-97.527998999999994</v>
      </c>
      <c r="L3587" s="16" t="str">
        <f>HYPERLINK("https://maps.google.com/?q=16.2034551,-97.527999", "🔗 Ver Mapa")</f>
        <v>🔗 Ver Mapa</v>
      </c>
    </row>
    <row r="3588" spans="1:12" ht="43.5" x14ac:dyDescent="0.35">
      <c r="A3588" s="6" t="s">
        <v>4</v>
      </c>
      <c r="B3588" s="6" t="s">
        <v>17</v>
      </c>
      <c r="C3588" s="6" t="s">
        <v>1564</v>
      </c>
      <c r="D3588" s="11" t="s">
        <v>64</v>
      </c>
      <c r="E3588" s="17" t="s">
        <v>74</v>
      </c>
      <c r="F3588" s="17" t="s">
        <v>453</v>
      </c>
      <c r="G3588" s="11" t="s">
        <v>1259</v>
      </c>
      <c r="H3588" s="11" t="s">
        <v>1565</v>
      </c>
      <c r="I3588" s="17" t="s">
        <v>296</v>
      </c>
      <c r="J3588" s="17">
        <v>16.203630400000002</v>
      </c>
      <c r="K3588" s="17">
        <v>-97.528248300000001</v>
      </c>
      <c r="L3588" s="17" t="str">
        <f>HYPERLINK("https://maps.google.com/?q=16.2036304,-97.5282483", "🔗 Ver Mapa")</f>
        <v>🔗 Ver Mapa</v>
      </c>
    </row>
    <row r="3589" spans="1:12" ht="43.5" x14ac:dyDescent="0.35">
      <c r="A3589" s="5" t="s">
        <v>4</v>
      </c>
      <c r="B3589" s="5" t="s">
        <v>17</v>
      </c>
      <c r="C3589" s="5" t="s">
        <v>1564</v>
      </c>
      <c r="D3589" s="8" t="s">
        <v>64</v>
      </c>
      <c r="E3589" s="16" t="s">
        <v>74</v>
      </c>
      <c r="F3589" s="16" t="s">
        <v>453</v>
      </c>
      <c r="G3589" s="8" t="s">
        <v>1259</v>
      </c>
      <c r="H3589" s="8" t="s">
        <v>1565</v>
      </c>
      <c r="I3589" s="16" t="s">
        <v>296</v>
      </c>
      <c r="J3589" s="16">
        <v>16.2037871</v>
      </c>
      <c r="K3589" s="16">
        <v>-97.528470999999996</v>
      </c>
      <c r="L3589" s="16" t="str">
        <f>HYPERLINK("https://maps.google.com/?q=16.2037871,-97.528471", "🔗 Ver Mapa")</f>
        <v>🔗 Ver Mapa</v>
      </c>
    </row>
    <row r="3590" spans="1:12" ht="43.5" x14ac:dyDescent="0.35">
      <c r="A3590" s="6" t="s">
        <v>4</v>
      </c>
      <c r="B3590" s="6" t="s">
        <v>17</v>
      </c>
      <c r="C3590" s="6" t="s">
        <v>1564</v>
      </c>
      <c r="D3590" s="11" t="s">
        <v>64</v>
      </c>
      <c r="E3590" s="17" t="s">
        <v>74</v>
      </c>
      <c r="F3590" s="17" t="s">
        <v>453</v>
      </c>
      <c r="G3590" s="11" t="s">
        <v>1259</v>
      </c>
      <c r="H3590" s="11" t="s">
        <v>1565</v>
      </c>
      <c r="I3590" s="17" t="s">
        <v>296</v>
      </c>
      <c r="J3590" s="17">
        <v>16.203930100000001</v>
      </c>
      <c r="K3590" s="17">
        <v>-97.528591000000006</v>
      </c>
      <c r="L3590" s="17" t="str">
        <f>HYPERLINK("https://maps.google.com/?q=16.2039301,-97.528591", "🔗 Ver Mapa")</f>
        <v>🔗 Ver Mapa</v>
      </c>
    </row>
    <row r="3591" spans="1:12" ht="43.5" x14ac:dyDescent="0.35">
      <c r="A3591" s="5" t="s">
        <v>4</v>
      </c>
      <c r="B3591" s="5" t="s">
        <v>17</v>
      </c>
      <c r="C3591" s="5" t="s">
        <v>1564</v>
      </c>
      <c r="D3591" s="8" t="s">
        <v>64</v>
      </c>
      <c r="E3591" s="16" t="s">
        <v>74</v>
      </c>
      <c r="F3591" s="16" t="s">
        <v>453</v>
      </c>
      <c r="G3591" s="8" t="s">
        <v>1259</v>
      </c>
      <c r="H3591" s="8" t="s">
        <v>1565</v>
      </c>
      <c r="I3591" s="16" t="s">
        <v>296</v>
      </c>
      <c r="J3591" s="16">
        <v>16.204094099999999</v>
      </c>
      <c r="K3591" s="16">
        <v>-97.528668999999994</v>
      </c>
      <c r="L3591" s="16" t="str">
        <f>HYPERLINK("https://maps.google.com/?q=16.2040941,-97.528669", "🔗 Ver Mapa")</f>
        <v>🔗 Ver Mapa</v>
      </c>
    </row>
    <row r="3592" spans="1:12" ht="43.5" x14ac:dyDescent="0.35">
      <c r="A3592" s="6" t="s">
        <v>4</v>
      </c>
      <c r="B3592" s="6" t="s">
        <v>17</v>
      </c>
      <c r="C3592" s="6" t="s">
        <v>1564</v>
      </c>
      <c r="D3592" s="11" t="s">
        <v>64</v>
      </c>
      <c r="E3592" s="17" t="s">
        <v>74</v>
      </c>
      <c r="F3592" s="17" t="s">
        <v>453</v>
      </c>
      <c r="G3592" s="11" t="s">
        <v>1259</v>
      </c>
      <c r="H3592" s="11" t="s">
        <v>1565</v>
      </c>
      <c r="I3592" s="17" t="s">
        <v>296</v>
      </c>
      <c r="J3592" s="17">
        <v>16.204346099999999</v>
      </c>
      <c r="K3592" s="17">
        <v>-97.528749000000005</v>
      </c>
      <c r="L3592" s="17" t="str">
        <f>HYPERLINK("https://maps.google.com/?q=16.2043461,-97.528749", "🔗 Ver Mapa")</f>
        <v>🔗 Ver Mapa</v>
      </c>
    </row>
    <row r="3593" spans="1:12" ht="43.5" x14ac:dyDescent="0.35">
      <c r="A3593" s="5" t="s">
        <v>4</v>
      </c>
      <c r="B3593" s="5" t="s">
        <v>17</v>
      </c>
      <c r="C3593" s="5" t="s">
        <v>1564</v>
      </c>
      <c r="D3593" s="8" t="s">
        <v>64</v>
      </c>
      <c r="E3593" s="16" t="s">
        <v>74</v>
      </c>
      <c r="F3593" s="16" t="s">
        <v>453</v>
      </c>
      <c r="G3593" s="8" t="s">
        <v>1259</v>
      </c>
      <c r="H3593" s="8" t="s">
        <v>1565</v>
      </c>
      <c r="I3593" s="16" t="s">
        <v>296</v>
      </c>
      <c r="J3593" s="16">
        <v>16.204588099999999</v>
      </c>
      <c r="K3593" s="16">
        <v>-97.5288319</v>
      </c>
      <c r="L3593" s="16" t="str">
        <f>HYPERLINK("https://maps.google.com/?q=16.2045881,-97.5288319", "🔗 Ver Mapa")</f>
        <v>🔗 Ver Mapa</v>
      </c>
    </row>
    <row r="3594" spans="1:12" ht="43.5" x14ac:dyDescent="0.35">
      <c r="A3594" s="6" t="s">
        <v>4</v>
      </c>
      <c r="B3594" s="6" t="s">
        <v>17</v>
      </c>
      <c r="C3594" s="6" t="s">
        <v>1564</v>
      </c>
      <c r="D3594" s="11" t="s">
        <v>64</v>
      </c>
      <c r="E3594" s="17" t="s">
        <v>74</v>
      </c>
      <c r="F3594" s="17" t="s">
        <v>453</v>
      </c>
      <c r="G3594" s="11" t="s">
        <v>1259</v>
      </c>
      <c r="H3594" s="11" t="s">
        <v>1565</v>
      </c>
      <c r="I3594" s="17" t="s">
        <v>296</v>
      </c>
      <c r="J3594" s="17">
        <v>16.204639100000001</v>
      </c>
      <c r="K3594" s="17">
        <v>-97.521298999999999</v>
      </c>
      <c r="L3594" s="17" t="str">
        <f>HYPERLINK("https://maps.google.com/?q=16.2046391,-97.521299", "🔗 Ver Mapa")</f>
        <v>🔗 Ver Mapa</v>
      </c>
    </row>
    <row r="3595" spans="1:12" ht="43.5" x14ac:dyDescent="0.35">
      <c r="A3595" s="5" t="s">
        <v>4</v>
      </c>
      <c r="B3595" s="5" t="s">
        <v>17</v>
      </c>
      <c r="C3595" s="5" t="s">
        <v>1564</v>
      </c>
      <c r="D3595" s="8" t="s">
        <v>64</v>
      </c>
      <c r="E3595" s="16" t="s">
        <v>74</v>
      </c>
      <c r="F3595" s="16" t="s">
        <v>453</v>
      </c>
      <c r="G3595" s="8" t="s">
        <v>1259</v>
      </c>
      <c r="H3595" s="8" t="s">
        <v>1565</v>
      </c>
      <c r="I3595" s="16" t="s">
        <v>296</v>
      </c>
      <c r="J3595" s="16">
        <v>16.204680100000001</v>
      </c>
      <c r="K3595" s="16">
        <v>-97.526848999999999</v>
      </c>
      <c r="L3595" s="16" t="str">
        <f>HYPERLINK("https://maps.google.com/?q=16.2046801,-97.526849", "🔗 Ver Mapa")</f>
        <v>🔗 Ver Mapa</v>
      </c>
    </row>
    <row r="3596" spans="1:12" ht="43.5" x14ac:dyDescent="0.35">
      <c r="A3596" s="6" t="s">
        <v>4</v>
      </c>
      <c r="B3596" s="6" t="s">
        <v>17</v>
      </c>
      <c r="C3596" s="6" t="s">
        <v>1564</v>
      </c>
      <c r="D3596" s="11" t="s">
        <v>64</v>
      </c>
      <c r="E3596" s="17" t="s">
        <v>74</v>
      </c>
      <c r="F3596" s="17" t="s">
        <v>453</v>
      </c>
      <c r="G3596" s="11" t="s">
        <v>1259</v>
      </c>
      <c r="H3596" s="11" t="s">
        <v>1565</v>
      </c>
      <c r="I3596" s="17" t="s">
        <v>296</v>
      </c>
      <c r="J3596" s="17">
        <v>16.204681099999998</v>
      </c>
      <c r="K3596" s="17">
        <v>-97.527562099999997</v>
      </c>
      <c r="L3596" s="17" t="str">
        <f>HYPERLINK("https://maps.google.com/?q=16.2046811,-97.5275621", "🔗 Ver Mapa")</f>
        <v>🔗 Ver Mapa</v>
      </c>
    </row>
    <row r="3597" spans="1:12" ht="43.5" x14ac:dyDescent="0.35">
      <c r="A3597" s="5" t="s">
        <v>4</v>
      </c>
      <c r="B3597" s="5" t="s">
        <v>17</v>
      </c>
      <c r="C3597" s="5" t="s">
        <v>1564</v>
      </c>
      <c r="D3597" s="8" t="s">
        <v>64</v>
      </c>
      <c r="E3597" s="16" t="s">
        <v>74</v>
      </c>
      <c r="F3597" s="16" t="s">
        <v>453</v>
      </c>
      <c r="G3597" s="8" t="s">
        <v>1259</v>
      </c>
      <c r="H3597" s="8" t="s">
        <v>1565</v>
      </c>
      <c r="I3597" s="16" t="s">
        <v>296</v>
      </c>
      <c r="J3597" s="16">
        <v>16.2046891</v>
      </c>
      <c r="K3597" s="16">
        <v>-97.53013</v>
      </c>
      <c r="L3597" s="16" t="str">
        <f>HYPERLINK("https://maps.google.com/?q=16.2046891,-97.53013", "🔗 Ver Mapa")</f>
        <v>🔗 Ver Mapa</v>
      </c>
    </row>
    <row r="3598" spans="1:12" ht="43.5" x14ac:dyDescent="0.35">
      <c r="A3598" s="6" t="s">
        <v>4</v>
      </c>
      <c r="B3598" s="6" t="s">
        <v>17</v>
      </c>
      <c r="C3598" s="6" t="s">
        <v>1564</v>
      </c>
      <c r="D3598" s="11" t="s">
        <v>64</v>
      </c>
      <c r="E3598" s="17" t="s">
        <v>74</v>
      </c>
      <c r="F3598" s="17" t="s">
        <v>453</v>
      </c>
      <c r="G3598" s="11" t="s">
        <v>1259</v>
      </c>
      <c r="H3598" s="11" t="s">
        <v>1565</v>
      </c>
      <c r="I3598" s="17" t="s">
        <v>296</v>
      </c>
      <c r="J3598" s="17">
        <v>16.204767100000002</v>
      </c>
      <c r="K3598" s="17">
        <v>-97.530062999999998</v>
      </c>
      <c r="L3598" s="17" t="str">
        <f>HYPERLINK("https://maps.google.com/?q=16.2047671,-97.530063", "🔗 Ver Mapa")</f>
        <v>🔗 Ver Mapa</v>
      </c>
    </row>
    <row r="3599" spans="1:12" ht="43.5" x14ac:dyDescent="0.35">
      <c r="A3599" s="5" t="s">
        <v>4</v>
      </c>
      <c r="B3599" s="5" t="s">
        <v>17</v>
      </c>
      <c r="C3599" s="5" t="s">
        <v>1564</v>
      </c>
      <c r="D3599" s="8" t="s">
        <v>64</v>
      </c>
      <c r="E3599" s="16" t="s">
        <v>74</v>
      </c>
      <c r="F3599" s="16" t="s">
        <v>453</v>
      </c>
      <c r="G3599" s="8" t="s">
        <v>1259</v>
      </c>
      <c r="H3599" s="8" t="s">
        <v>1565</v>
      </c>
      <c r="I3599" s="16" t="s">
        <v>296</v>
      </c>
      <c r="J3599" s="16">
        <v>16.204787100000001</v>
      </c>
      <c r="K3599" s="16">
        <v>-97.528899999999993</v>
      </c>
      <c r="L3599" s="16" t="str">
        <f>HYPERLINK("https://maps.google.com/?q=16.2047871,-97.5289", "🔗 Ver Mapa")</f>
        <v>🔗 Ver Mapa</v>
      </c>
    </row>
    <row r="3600" spans="1:12" ht="43.5" x14ac:dyDescent="0.35">
      <c r="A3600" s="6" t="s">
        <v>4</v>
      </c>
      <c r="B3600" s="6" t="s">
        <v>17</v>
      </c>
      <c r="C3600" s="6" t="s">
        <v>1564</v>
      </c>
      <c r="D3600" s="11" t="s">
        <v>64</v>
      </c>
      <c r="E3600" s="17" t="s">
        <v>74</v>
      </c>
      <c r="F3600" s="17" t="s">
        <v>453</v>
      </c>
      <c r="G3600" s="11" t="s">
        <v>1259</v>
      </c>
      <c r="H3600" s="11" t="s">
        <v>1565</v>
      </c>
      <c r="I3600" s="17" t="s">
        <v>296</v>
      </c>
      <c r="J3600" s="17">
        <v>16.204819100000002</v>
      </c>
      <c r="K3600" s="17">
        <v>-97.527536100000006</v>
      </c>
      <c r="L3600" s="17" t="str">
        <f>HYPERLINK("https://maps.google.com/?q=16.2048191,-97.5275361", "🔗 Ver Mapa")</f>
        <v>🔗 Ver Mapa</v>
      </c>
    </row>
    <row r="3601" spans="1:12" ht="43.5" x14ac:dyDescent="0.35">
      <c r="A3601" s="5" t="s">
        <v>4</v>
      </c>
      <c r="B3601" s="5" t="s">
        <v>17</v>
      </c>
      <c r="C3601" s="5" t="s">
        <v>1564</v>
      </c>
      <c r="D3601" s="8" t="s">
        <v>64</v>
      </c>
      <c r="E3601" s="16" t="s">
        <v>74</v>
      </c>
      <c r="F3601" s="16" t="s">
        <v>453</v>
      </c>
      <c r="G3601" s="8" t="s">
        <v>1259</v>
      </c>
      <c r="H3601" s="8" t="s">
        <v>1565</v>
      </c>
      <c r="I3601" s="16" t="s">
        <v>296</v>
      </c>
      <c r="J3601" s="16">
        <v>16.204836100000001</v>
      </c>
      <c r="K3601" s="16">
        <v>-97.529910999999998</v>
      </c>
      <c r="L3601" s="16" t="str">
        <f>HYPERLINK("https://maps.google.com/?q=16.2048361,-97.529911", "🔗 Ver Mapa")</f>
        <v>🔗 Ver Mapa</v>
      </c>
    </row>
    <row r="3602" spans="1:12" ht="43.5" x14ac:dyDescent="0.35">
      <c r="A3602" s="6" t="s">
        <v>4</v>
      </c>
      <c r="B3602" s="6" t="s">
        <v>17</v>
      </c>
      <c r="C3602" s="6" t="s">
        <v>1564</v>
      </c>
      <c r="D3602" s="11" t="s">
        <v>64</v>
      </c>
      <c r="E3602" s="17" t="s">
        <v>74</v>
      </c>
      <c r="F3602" s="17" t="s">
        <v>453</v>
      </c>
      <c r="G3602" s="11" t="s">
        <v>1259</v>
      </c>
      <c r="H3602" s="11" t="s">
        <v>1565</v>
      </c>
      <c r="I3602" s="17" t="s">
        <v>296</v>
      </c>
      <c r="J3602" s="17">
        <v>16.2048451</v>
      </c>
      <c r="K3602" s="17">
        <v>-97.526869099999999</v>
      </c>
      <c r="L3602" s="17" t="str">
        <f>HYPERLINK("https://maps.google.com/?q=16.2048451,-97.5268691", "🔗 Ver Mapa")</f>
        <v>🔗 Ver Mapa</v>
      </c>
    </row>
    <row r="3603" spans="1:12" ht="43.5" x14ac:dyDescent="0.35">
      <c r="A3603" s="5" t="s">
        <v>4</v>
      </c>
      <c r="B3603" s="5" t="s">
        <v>17</v>
      </c>
      <c r="C3603" s="5" t="s">
        <v>1564</v>
      </c>
      <c r="D3603" s="8" t="s">
        <v>64</v>
      </c>
      <c r="E3603" s="16" t="s">
        <v>74</v>
      </c>
      <c r="F3603" s="16" t="s">
        <v>453</v>
      </c>
      <c r="G3603" s="8" t="s">
        <v>1259</v>
      </c>
      <c r="H3603" s="8" t="s">
        <v>1565</v>
      </c>
      <c r="I3603" s="16" t="s">
        <v>296</v>
      </c>
      <c r="J3603" s="16">
        <v>16.2049141</v>
      </c>
      <c r="K3603" s="16">
        <v>-97.529814999999999</v>
      </c>
      <c r="L3603" s="16" t="str">
        <f>HYPERLINK("https://maps.google.com/?q=16.2049141,-97.529815", "🔗 Ver Mapa")</f>
        <v>🔗 Ver Mapa</v>
      </c>
    </row>
    <row r="3604" spans="1:12" ht="43.5" x14ac:dyDescent="0.35">
      <c r="A3604" s="6" t="s">
        <v>4</v>
      </c>
      <c r="B3604" s="6" t="s">
        <v>17</v>
      </c>
      <c r="C3604" s="6" t="s">
        <v>1564</v>
      </c>
      <c r="D3604" s="11" t="s">
        <v>64</v>
      </c>
      <c r="E3604" s="17" t="s">
        <v>74</v>
      </c>
      <c r="F3604" s="17" t="s">
        <v>453</v>
      </c>
      <c r="G3604" s="11" t="s">
        <v>1259</v>
      </c>
      <c r="H3604" s="11" t="s">
        <v>1565</v>
      </c>
      <c r="I3604" s="17" t="s">
        <v>296</v>
      </c>
      <c r="J3604" s="17">
        <v>16.204916600000001</v>
      </c>
      <c r="K3604" s="17">
        <v>-97.521475699999996</v>
      </c>
      <c r="L3604" s="17" t="str">
        <f>HYPERLINK("https://maps.google.com/?q=16.2049166,-97.5214757", "🔗 Ver Mapa")</f>
        <v>🔗 Ver Mapa</v>
      </c>
    </row>
    <row r="3605" spans="1:12" ht="43.5" x14ac:dyDescent="0.35">
      <c r="A3605" s="5" t="s">
        <v>4</v>
      </c>
      <c r="B3605" s="5" t="s">
        <v>17</v>
      </c>
      <c r="C3605" s="5" t="s">
        <v>1564</v>
      </c>
      <c r="D3605" s="8" t="s">
        <v>64</v>
      </c>
      <c r="E3605" s="16" t="s">
        <v>74</v>
      </c>
      <c r="F3605" s="16" t="s">
        <v>453</v>
      </c>
      <c r="G3605" s="8" t="s">
        <v>1259</v>
      </c>
      <c r="H3605" s="8" t="s">
        <v>1565</v>
      </c>
      <c r="I3605" s="16" t="s">
        <v>296</v>
      </c>
      <c r="J3605" s="16">
        <v>16.204957100000001</v>
      </c>
      <c r="K3605" s="16">
        <v>-97.528004999999993</v>
      </c>
      <c r="L3605" s="16" t="str">
        <f>HYPERLINK("https://maps.google.com/?q=16.2049571,-97.528005", "🔗 Ver Mapa")</f>
        <v>🔗 Ver Mapa</v>
      </c>
    </row>
    <row r="3606" spans="1:12" ht="43.5" x14ac:dyDescent="0.35">
      <c r="A3606" s="6" t="s">
        <v>4</v>
      </c>
      <c r="B3606" s="6" t="s">
        <v>17</v>
      </c>
      <c r="C3606" s="6" t="s">
        <v>1564</v>
      </c>
      <c r="D3606" s="11" t="s">
        <v>64</v>
      </c>
      <c r="E3606" s="17" t="s">
        <v>74</v>
      </c>
      <c r="F3606" s="17" t="s">
        <v>453</v>
      </c>
      <c r="G3606" s="11" t="s">
        <v>1259</v>
      </c>
      <c r="H3606" s="11" t="s">
        <v>1565</v>
      </c>
      <c r="I3606" s="17" t="s">
        <v>296</v>
      </c>
      <c r="J3606" s="17">
        <v>16.2049691</v>
      </c>
      <c r="K3606" s="17">
        <v>-97.529736</v>
      </c>
      <c r="L3606" s="17" t="str">
        <f>HYPERLINK("https://maps.google.com/?q=16.2049691,-97.529736", "🔗 Ver Mapa")</f>
        <v>🔗 Ver Mapa</v>
      </c>
    </row>
    <row r="3607" spans="1:12" ht="43.5" x14ac:dyDescent="0.35">
      <c r="A3607" s="5" t="s">
        <v>4</v>
      </c>
      <c r="B3607" s="5" t="s">
        <v>17</v>
      </c>
      <c r="C3607" s="5" t="s">
        <v>1564</v>
      </c>
      <c r="D3607" s="8" t="s">
        <v>64</v>
      </c>
      <c r="E3607" s="16" t="s">
        <v>74</v>
      </c>
      <c r="F3607" s="16" t="s">
        <v>453</v>
      </c>
      <c r="G3607" s="8" t="s">
        <v>1259</v>
      </c>
      <c r="H3607" s="8" t="s">
        <v>1565</v>
      </c>
      <c r="I3607" s="16" t="s">
        <v>296</v>
      </c>
      <c r="J3607" s="16">
        <v>16.204988100000001</v>
      </c>
      <c r="K3607" s="16">
        <v>-97.527615100000006</v>
      </c>
      <c r="L3607" s="16" t="str">
        <f>HYPERLINK("https://maps.google.com/?q=16.2049881,-97.5276151", "🔗 Ver Mapa")</f>
        <v>🔗 Ver Mapa</v>
      </c>
    </row>
    <row r="3608" spans="1:12" ht="43.5" x14ac:dyDescent="0.35">
      <c r="A3608" s="6" t="s">
        <v>4</v>
      </c>
      <c r="B3608" s="6" t="s">
        <v>17</v>
      </c>
      <c r="C3608" s="6" t="s">
        <v>1564</v>
      </c>
      <c r="D3608" s="11" t="s">
        <v>64</v>
      </c>
      <c r="E3608" s="17" t="s">
        <v>74</v>
      </c>
      <c r="F3608" s="17" t="s">
        <v>453</v>
      </c>
      <c r="G3608" s="11" t="s">
        <v>1259</v>
      </c>
      <c r="H3608" s="11" t="s">
        <v>1565</v>
      </c>
      <c r="I3608" s="17" t="s">
        <v>296</v>
      </c>
      <c r="J3608" s="17">
        <v>16.2050181</v>
      </c>
      <c r="K3608" s="17">
        <v>-97.529486000000006</v>
      </c>
      <c r="L3608" s="17" t="str">
        <f>HYPERLINK("https://maps.google.com/?q=16.2050181,-97.529486", "🔗 Ver Mapa")</f>
        <v>🔗 Ver Mapa</v>
      </c>
    </row>
    <row r="3609" spans="1:12" ht="43.5" x14ac:dyDescent="0.35">
      <c r="A3609" s="5" t="s">
        <v>4</v>
      </c>
      <c r="B3609" s="5" t="s">
        <v>17</v>
      </c>
      <c r="C3609" s="5" t="s">
        <v>1564</v>
      </c>
      <c r="D3609" s="8" t="s">
        <v>64</v>
      </c>
      <c r="E3609" s="16" t="s">
        <v>74</v>
      </c>
      <c r="F3609" s="16" t="s">
        <v>453</v>
      </c>
      <c r="G3609" s="8" t="s">
        <v>1259</v>
      </c>
      <c r="H3609" s="8" t="s">
        <v>1565</v>
      </c>
      <c r="I3609" s="16" t="s">
        <v>296</v>
      </c>
      <c r="J3609" s="16">
        <v>16.205064100000001</v>
      </c>
      <c r="K3609" s="16">
        <v>-97.529925000000006</v>
      </c>
      <c r="L3609" s="16" t="str">
        <f>HYPERLINK("https://maps.google.com/?q=16.2050641,-97.529925", "🔗 Ver Mapa")</f>
        <v>🔗 Ver Mapa</v>
      </c>
    </row>
    <row r="3610" spans="1:12" ht="43.5" x14ac:dyDescent="0.35">
      <c r="A3610" s="6" t="s">
        <v>4</v>
      </c>
      <c r="B3610" s="6" t="s">
        <v>17</v>
      </c>
      <c r="C3610" s="6" t="s">
        <v>1564</v>
      </c>
      <c r="D3610" s="11" t="s">
        <v>64</v>
      </c>
      <c r="E3610" s="17" t="s">
        <v>74</v>
      </c>
      <c r="F3610" s="17" t="s">
        <v>453</v>
      </c>
      <c r="G3610" s="11" t="s">
        <v>1259</v>
      </c>
      <c r="H3610" s="11" t="s">
        <v>1565</v>
      </c>
      <c r="I3610" s="17" t="s">
        <v>296</v>
      </c>
      <c r="J3610" s="17">
        <v>16.2050801</v>
      </c>
      <c r="K3610" s="17">
        <v>-97.529116000000002</v>
      </c>
      <c r="L3610" s="17" t="str">
        <f>HYPERLINK("https://maps.google.com/?q=16.2050801,-97.529116", "🔗 Ver Mapa")</f>
        <v>🔗 Ver Mapa</v>
      </c>
    </row>
    <row r="3611" spans="1:12" ht="43.5" x14ac:dyDescent="0.35">
      <c r="A3611" s="5" t="s">
        <v>4</v>
      </c>
      <c r="B3611" s="5" t="s">
        <v>17</v>
      </c>
      <c r="C3611" s="5" t="s">
        <v>1564</v>
      </c>
      <c r="D3611" s="8" t="s">
        <v>64</v>
      </c>
      <c r="E3611" s="16" t="s">
        <v>74</v>
      </c>
      <c r="F3611" s="16" t="s">
        <v>453</v>
      </c>
      <c r="G3611" s="8" t="s">
        <v>1259</v>
      </c>
      <c r="H3611" s="8" t="s">
        <v>1565</v>
      </c>
      <c r="I3611" s="16" t="s">
        <v>296</v>
      </c>
      <c r="J3611" s="16">
        <v>16.205096999999999</v>
      </c>
      <c r="K3611" s="16">
        <v>-97.528981000000002</v>
      </c>
      <c r="L3611" s="16" t="str">
        <f>HYPERLINK("https://maps.google.com/?q=16.205097,-97.528981", "🔗 Ver Mapa")</f>
        <v>🔗 Ver Mapa</v>
      </c>
    </row>
    <row r="3612" spans="1:12" ht="43.5" x14ac:dyDescent="0.35">
      <c r="A3612" s="6" t="s">
        <v>4</v>
      </c>
      <c r="B3612" s="6" t="s">
        <v>17</v>
      </c>
      <c r="C3612" s="6" t="s">
        <v>1564</v>
      </c>
      <c r="D3612" s="11" t="s">
        <v>64</v>
      </c>
      <c r="E3612" s="17" t="s">
        <v>74</v>
      </c>
      <c r="F3612" s="17" t="s">
        <v>453</v>
      </c>
      <c r="G3612" s="11" t="s">
        <v>1259</v>
      </c>
      <c r="H3612" s="11" t="s">
        <v>1565</v>
      </c>
      <c r="I3612" s="17" t="s">
        <v>296</v>
      </c>
      <c r="J3612" s="17">
        <v>16.205116100000001</v>
      </c>
      <c r="K3612" s="17">
        <v>-97.526812000000007</v>
      </c>
      <c r="L3612" s="17" t="str">
        <f>HYPERLINK("https://maps.google.com/?q=16.2051161,-97.526812", "🔗 Ver Mapa")</f>
        <v>🔗 Ver Mapa</v>
      </c>
    </row>
    <row r="3613" spans="1:12" ht="43.5" x14ac:dyDescent="0.35">
      <c r="A3613" s="5" t="s">
        <v>4</v>
      </c>
      <c r="B3613" s="5" t="s">
        <v>17</v>
      </c>
      <c r="C3613" s="5" t="s">
        <v>1564</v>
      </c>
      <c r="D3613" s="8" t="s">
        <v>64</v>
      </c>
      <c r="E3613" s="16" t="s">
        <v>74</v>
      </c>
      <c r="F3613" s="16" t="s">
        <v>453</v>
      </c>
      <c r="G3613" s="8" t="s">
        <v>1259</v>
      </c>
      <c r="H3613" s="8" t="s">
        <v>1565</v>
      </c>
      <c r="I3613" s="16" t="s">
        <v>296</v>
      </c>
      <c r="J3613" s="16">
        <v>16.205127000000001</v>
      </c>
      <c r="K3613" s="16">
        <v>-97.521678899999998</v>
      </c>
      <c r="L3613" s="16" t="str">
        <f>HYPERLINK("https://maps.google.com/?q=16.205127,-97.5216789", "🔗 Ver Mapa")</f>
        <v>🔗 Ver Mapa</v>
      </c>
    </row>
    <row r="3614" spans="1:12" ht="43.5" x14ac:dyDescent="0.35">
      <c r="A3614" s="6" t="s">
        <v>4</v>
      </c>
      <c r="B3614" s="6" t="s">
        <v>17</v>
      </c>
      <c r="C3614" s="6" t="s">
        <v>1564</v>
      </c>
      <c r="D3614" s="11" t="s">
        <v>64</v>
      </c>
      <c r="E3614" s="17" t="s">
        <v>74</v>
      </c>
      <c r="F3614" s="17" t="s">
        <v>453</v>
      </c>
      <c r="G3614" s="11" t="s">
        <v>1259</v>
      </c>
      <c r="H3614" s="11" t="s">
        <v>1565</v>
      </c>
      <c r="I3614" s="17" t="s">
        <v>296</v>
      </c>
      <c r="J3614" s="17">
        <v>16.205128999999999</v>
      </c>
      <c r="K3614" s="17">
        <v>-97.527703099999997</v>
      </c>
      <c r="L3614" s="17" t="str">
        <f>HYPERLINK("https://maps.google.com/?q=16.205129,-97.5277031", "🔗 Ver Mapa")</f>
        <v>🔗 Ver Mapa</v>
      </c>
    </row>
    <row r="3615" spans="1:12" ht="43.5" x14ac:dyDescent="0.35">
      <c r="A3615" s="5" t="s">
        <v>4</v>
      </c>
      <c r="B3615" s="5" t="s">
        <v>17</v>
      </c>
      <c r="C3615" s="5" t="s">
        <v>1564</v>
      </c>
      <c r="D3615" s="8" t="s">
        <v>64</v>
      </c>
      <c r="E3615" s="16" t="s">
        <v>74</v>
      </c>
      <c r="F3615" s="16" t="s">
        <v>453</v>
      </c>
      <c r="G3615" s="8" t="s">
        <v>1259</v>
      </c>
      <c r="H3615" s="8" t="s">
        <v>1565</v>
      </c>
      <c r="I3615" s="16" t="s">
        <v>296</v>
      </c>
      <c r="J3615" s="16">
        <v>16.205186000000001</v>
      </c>
      <c r="K3615" s="16">
        <v>-97.528991000000005</v>
      </c>
      <c r="L3615" s="16" t="str">
        <f>HYPERLINK("https://maps.google.com/?q=16.205186,-97.528991", "🔗 Ver Mapa")</f>
        <v>🔗 Ver Mapa</v>
      </c>
    </row>
    <row r="3616" spans="1:12" ht="43.5" x14ac:dyDescent="0.35">
      <c r="A3616" s="6" t="s">
        <v>4</v>
      </c>
      <c r="B3616" s="6" t="s">
        <v>17</v>
      </c>
      <c r="C3616" s="6" t="s">
        <v>1564</v>
      </c>
      <c r="D3616" s="11" t="s">
        <v>64</v>
      </c>
      <c r="E3616" s="17" t="s">
        <v>74</v>
      </c>
      <c r="F3616" s="17" t="s">
        <v>453</v>
      </c>
      <c r="G3616" s="11" t="s">
        <v>1259</v>
      </c>
      <c r="H3616" s="11" t="s">
        <v>1565</v>
      </c>
      <c r="I3616" s="17" t="s">
        <v>296</v>
      </c>
      <c r="J3616" s="17">
        <v>16.2052671</v>
      </c>
      <c r="K3616" s="17">
        <v>-97.529983999999999</v>
      </c>
      <c r="L3616" s="17" t="str">
        <f>HYPERLINK("https://maps.google.com/?q=16.2052671,-97.529984", "🔗 Ver Mapa")</f>
        <v>🔗 Ver Mapa</v>
      </c>
    </row>
    <row r="3617" spans="1:12" ht="43.5" x14ac:dyDescent="0.35">
      <c r="A3617" s="5" t="s">
        <v>4</v>
      </c>
      <c r="B3617" s="5" t="s">
        <v>17</v>
      </c>
      <c r="C3617" s="5" t="s">
        <v>1564</v>
      </c>
      <c r="D3617" s="8" t="s">
        <v>64</v>
      </c>
      <c r="E3617" s="16" t="s">
        <v>74</v>
      </c>
      <c r="F3617" s="16" t="s">
        <v>453</v>
      </c>
      <c r="G3617" s="8" t="s">
        <v>1259</v>
      </c>
      <c r="H3617" s="8" t="s">
        <v>1565</v>
      </c>
      <c r="I3617" s="16" t="s">
        <v>296</v>
      </c>
      <c r="J3617" s="16">
        <v>16.205276099999999</v>
      </c>
      <c r="K3617" s="16">
        <v>-97.527747000000005</v>
      </c>
      <c r="L3617" s="16" t="str">
        <f>HYPERLINK("https://maps.google.com/?q=16.2052761,-97.527747", "🔗 Ver Mapa")</f>
        <v>🔗 Ver Mapa</v>
      </c>
    </row>
    <row r="3618" spans="1:12" ht="43.5" x14ac:dyDescent="0.35">
      <c r="A3618" s="6" t="s">
        <v>4</v>
      </c>
      <c r="B3618" s="6" t="s">
        <v>17</v>
      </c>
      <c r="C3618" s="6" t="s">
        <v>1564</v>
      </c>
      <c r="D3618" s="11" t="s">
        <v>64</v>
      </c>
      <c r="E3618" s="17" t="s">
        <v>74</v>
      </c>
      <c r="F3618" s="17" t="s">
        <v>453</v>
      </c>
      <c r="G3618" s="11" t="s">
        <v>1259</v>
      </c>
      <c r="H3618" s="11" t="s">
        <v>1565</v>
      </c>
      <c r="I3618" s="17" t="s">
        <v>296</v>
      </c>
      <c r="J3618" s="17">
        <v>16.205300099999999</v>
      </c>
      <c r="K3618" s="17">
        <v>-97.524293999999998</v>
      </c>
      <c r="L3618" s="17" t="str">
        <f>HYPERLINK("https://maps.google.com/?q=16.2053001,-97.524294", "🔗 Ver Mapa")</f>
        <v>🔗 Ver Mapa</v>
      </c>
    </row>
    <row r="3619" spans="1:12" ht="43.5" x14ac:dyDescent="0.35">
      <c r="A3619" s="5" t="s">
        <v>4</v>
      </c>
      <c r="B3619" s="5" t="s">
        <v>17</v>
      </c>
      <c r="C3619" s="5" t="s">
        <v>1564</v>
      </c>
      <c r="D3619" s="8" t="s">
        <v>64</v>
      </c>
      <c r="E3619" s="16" t="s">
        <v>74</v>
      </c>
      <c r="F3619" s="16" t="s">
        <v>453</v>
      </c>
      <c r="G3619" s="8" t="s">
        <v>1259</v>
      </c>
      <c r="H3619" s="8" t="s">
        <v>1565</v>
      </c>
      <c r="I3619" s="16" t="s">
        <v>296</v>
      </c>
      <c r="J3619" s="16">
        <v>16.205335099999999</v>
      </c>
      <c r="K3619" s="16">
        <v>-97.522814999999994</v>
      </c>
      <c r="L3619" s="16" t="str">
        <f>HYPERLINK("https://maps.google.com/?q=16.2053351,-97.522815", "🔗 Ver Mapa")</f>
        <v>🔗 Ver Mapa</v>
      </c>
    </row>
    <row r="3620" spans="1:12" ht="43.5" x14ac:dyDescent="0.35">
      <c r="A3620" s="6" t="s">
        <v>4</v>
      </c>
      <c r="B3620" s="6" t="s">
        <v>17</v>
      </c>
      <c r="C3620" s="6" t="s">
        <v>1564</v>
      </c>
      <c r="D3620" s="11" t="s">
        <v>64</v>
      </c>
      <c r="E3620" s="17" t="s">
        <v>74</v>
      </c>
      <c r="F3620" s="17" t="s">
        <v>453</v>
      </c>
      <c r="G3620" s="11" t="s">
        <v>1259</v>
      </c>
      <c r="H3620" s="11" t="s">
        <v>1565</v>
      </c>
      <c r="I3620" s="17" t="s">
        <v>296</v>
      </c>
      <c r="J3620" s="17">
        <v>16.205338300000001</v>
      </c>
      <c r="K3620" s="17">
        <v>-97.524170900000001</v>
      </c>
      <c r="L3620" s="17" t="str">
        <f>HYPERLINK("https://maps.google.com/?q=16.2053383,-97.5241709", "🔗 Ver Mapa")</f>
        <v>🔗 Ver Mapa</v>
      </c>
    </row>
    <row r="3621" spans="1:12" ht="43.5" x14ac:dyDescent="0.35">
      <c r="A3621" s="5" t="s">
        <v>4</v>
      </c>
      <c r="B3621" s="5" t="s">
        <v>17</v>
      </c>
      <c r="C3621" s="5" t="s">
        <v>1564</v>
      </c>
      <c r="D3621" s="8" t="s">
        <v>64</v>
      </c>
      <c r="E3621" s="16" t="s">
        <v>74</v>
      </c>
      <c r="F3621" s="16" t="s">
        <v>453</v>
      </c>
      <c r="G3621" s="8" t="s">
        <v>1259</v>
      </c>
      <c r="H3621" s="8" t="s">
        <v>1565</v>
      </c>
      <c r="I3621" s="16" t="s">
        <v>296</v>
      </c>
      <c r="J3621" s="16">
        <v>16.205344100000001</v>
      </c>
      <c r="K3621" s="16">
        <v>-97.524456999999998</v>
      </c>
      <c r="L3621" s="16" t="str">
        <f>HYPERLINK("https://maps.google.com/?q=16.2053441,-97.524457", "🔗 Ver Mapa")</f>
        <v>🔗 Ver Mapa</v>
      </c>
    </row>
    <row r="3622" spans="1:12" ht="43.5" x14ac:dyDescent="0.35">
      <c r="A3622" s="6" t="s">
        <v>4</v>
      </c>
      <c r="B3622" s="6" t="s">
        <v>17</v>
      </c>
      <c r="C3622" s="6" t="s">
        <v>1564</v>
      </c>
      <c r="D3622" s="11" t="s">
        <v>64</v>
      </c>
      <c r="E3622" s="17" t="s">
        <v>74</v>
      </c>
      <c r="F3622" s="17" t="s">
        <v>453</v>
      </c>
      <c r="G3622" s="11" t="s">
        <v>1259</v>
      </c>
      <c r="H3622" s="11" t="s">
        <v>1565</v>
      </c>
      <c r="I3622" s="17" t="s">
        <v>296</v>
      </c>
      <c r="J3622" s="17">
        <v>16.205346200000001</v>
      </c>
      <c r="K3622" s="17">
        <v>-97.526842299999998</v>
      </c>
      <c r="L3622" s="17" t="str">
        <f>HYPERLINK("https://maps.google.com/?q=16.2053462,-97.5268423", "🔗 Ver Mapa")</f>
        <v>🔗 Ver Mapa</v>
      </c>
    </row>
    <row r="3623" spans="1:12" ht="43.5" x14ac:dyDescent="0.35">
      <c r="A3623" s="5" t="s">
        <v>4</v>
      </c>
      <c r="B3623" s="5" t="s">
        <v>17</v>
      </c>
      <c r="C3623" s="5" t="s">
        <v>1564</v>
      </c>
      <c r="D3623" s="8" t="s">
        <v>64</v>
      </c>
      <c r="E3623" s="16" t="s">
        <v>74</v>
      </c>
      <c r="F3623" s="16" t="s">
        <v>453</v>
      </c>
      <c r="G3623" s="8" t="s">
        <v>1259</v>
      </c>
      <c r="H3623" s="8" t="s">
        <v>1565</v>
      </c>
      <c r="I3623" s="16" t="s">
        <v>296</v>
      </c>
      <c r="J3623" s="16">
        <v>16.205347100000001</v>
      </c>
      <c r="K3623" s="16">
        <v>-97.522981000000001</v>
      </c>
      <c r="L3623" s="16" t="str">
        <f>HYPERLINK("https://maps.google.com/?q=16.2053471,-97.522981", "🔗 Ver Mapa")</f>
        <v>🔗 Ver Mapa</v>
      </c>
    </row>
    <row r="3624" spans="1:12" ht="43.5" x14ac:dyDescent="0.35">
      <c r="A3624" s="6" t="s">
        <v>4</v>
      </c>
      <c r="B3624" s="6" t="s">
        <v>17</v>
      </c>
      <c r="C3624" s="6" t="s">
        <v>1564</v>
      </c>
      <c r="D3624" s="11" t="s">
        <v>64</v>
      </c>
      <c r="E3624" s="17" t="s">
        <v>74</v>
      </c>
      <c r="F3624" s="17" t="s">
        <v>453</v>
      </c>
      <c r="G3624" s="11" t="s">
        <v>1259</v>
      </c>
      <c r="H3624" s="11" t="s">
        <v>1565</v>
      </c>
      <c r="I3624" s="17" t="s">
        <v>296</v>
      </c>
      <c r="J3624" s="17">
        <v>16.2053537</v>
      </c>
      <c r="K3624" s="17">
        <v>-97.522045000000006</v>
      </c>
      <c r="L3624" s="17" t="str">
        <f>HYPERLINK("https://maps.google.com/?q=16.2053537,-97.522045", "🔗 Ver Mapa")</f>
        <v>🔗 Ver Mapa</v>
      </c>
    </row>
    <row r="3625" spans="1:12" ht="43.5" x14ac:dyDescent="0.35">
      <c r="A3625" s="5" t="s">
        <v>4</v>
      </c>
      <c r="B3625" s="5" t="s">
        <v>17</v>
      </c>
      <c r="C3625" s="5" t="s">
        <v>1564</v>
      </c>
      <c r="D3625" s="8" t="s">
        <v>64</v>
      </c>
      <c r="E3625" s="16" t="s">
        <v>74</v>
      </c>
      <c r="F3625" s="16" t="s">
        <v>453</v>
      </c>
      <c r="G3625" s="8" t="s">
        <v>1259</v>
      </c>
      <c r="H3625" s="8" t="s">
        <v>1565</v>
      </c>
      <c r="I3625" s="16" t="s">
        <v>296</v>
      </c>
      <c r="J3625" s="16">
        <v>16.205356099999999</v>
      </c>
      <c r="K3625" s="16">
        <v>-97.523624999999996</v>
      </c>
      <c r="L3625" s="16" t="str">
        <f>HYPERLINK("https://maps.google.com/?q=16.2053561,-97.523625", "🔗 Ver Mapa")</f>
        <v>🔗 Ver Mapa</v>
      </c>
    </row>
    <row r="3626" spans="1:12" ht="43.5" x14ac:dyDescent="0.35">
      <c r="A3626" s="6" t="s">
        <v>4</v>
      </c>
      <c r="B3626" s="6" t="s">
        <v>17</v>
      </c>
      <c r="C3626" s="6" t="s">
        <v>1564</v>
      </c>
      <c r="D3626" s="11" t="s">
        <v>64</v>
      </c>
      <c r="E3626" s="17" t="s">
        <v>74</v>
      </c>
      <c r="F3626" s="17" t="s">
        <v>453</v>
      </c>
      <c r="G3626" s="11" t="s">
        <v>1259</v>
      </c>
      <c r="H3626" s="11" t="s">
        <v>1565</v>
      </c>
      <c r="I3626" s="17" t="s">
        <v>296</v>
      </c>
      <c r="J3626" s="17">
        <v>16.2053656</v>
      </c>
      <c r="K3626" s="17">
        <v>-97.5240115</v>
      </c>
      <c r="L3626" s="17" t="str">
        <f>HYPERLINK("https://maps.google.com/?q=16.2053656,-97.5240115", "🔗 Ver Mapa")</f>
        <v>🔗 Ver Mapa</v>
      </c>
    </row>
    <row r="3627" spans="1:12" ht="43.5" x14ac:dyDescent="0.35">
      <c r="A3627" s="5" t="s">
        <v>4</v>
      </c>
      <c r="B3627" s="5" t="s">
        <v>17</v>
      </c>
      <c r="C3627" s="5" t="s">
        <v>1564</v>
      </c>
      <c r="D3627" s="8" t="s">
        <v>64</v>
      </c>
      <c r="E3627" s="16" t="s">
        <v>74</v>
      </c>
      <c r="F3627" s="16" t="s">
        <v>453</v>
      </c>
      <c r="G3627" s="8" t="s">
        <v>1259</v>
      </c>
      <c r="H3627" s="8" t="s">
        <v>1565</v>
      </c>
      <c r="I3627" s="16" t="s">
        <v>296</v>
      </c>
      <c r="J3627" s="16">
        <v>16.205368100000001</v>
      </c>
      <c r="K3627" s="16">
        <v>-97.528986000000003</v>
      </c>
      <c r="L3627" s="16" t="str">
        <f>HYPERLINK("https://maps.google.com/?q=16.2053681,-97.528986", "🔗 Ver Mapa")</f>
        <v>🔗 Ver Mapa</v>
      </c>
    </row>
    <row r="3628" spans="1:12" ht="43.5" x14ac:dyDescent="0.35">
      <c r="A3628" s="6" t="s">
        <v>4</v>
      </c>
      <c r="B3628" s="6" t="s">
        <v>17</v>
      </c>
      <c r="C3628" s="6" t="s">
        <v>1564</v>
      </c>
      <c r="D3628" s="11" t="s">
        <v>64</v>
      </c>
      <c r="E3628" s="17" t="s">
        <v>74</v>
      </c>
      <c r="F3628" s="17" t="s">
        <v>453</v>
      </c>
      <c r="G3628" s="11" t="s">
        <v>1259</v>
      </c>
      <c r="H3628" s="11" t="s">
        <v>1565</v>
      </c>
      <c r="I3628" s="17" t="s">
        <v>296</v>
      </c>
      <c r="J3628" s="17">
        <v>16.2053981</v>
      </c>
      <c r="K3628" s="17">
        <v>-97.522439000000006</v>
      </c>
      <c r="L3628" s="17" t="str">
        <f>HYPERLINK("https://maps.google.com/?q=16.2053981,-97.522439", "🔗 Ver Mapa")</f>
        <v>🔗 Ver Mapa</v>
      </c>
    </row>
    <row r="3629" spans="1:12" ht="43.5" x14ac:dyDescent="0.35">
      <c r="A3629" s="5" t="s">
        <v>4</v>
      </c>
      <c r="B3629" s="5" t="s">
        <v>17</v>
      </c>
      <c r="C3629" s="5" t="s">
        <v>1564</v>
      </c>
      <c r="D3629" s="8" t="s">
        <v>64</v>
      </c>
      <c r="E3629" s="16" t="s">
        <v>74</v>
      </c>
      <c r="F3629" s="16" t="s">
        <v>453</v>
      </c>
      <c r="G3629" s="8" t="s">
        <v>1259</v>
      </c>
      <c r="H3629" s="8" t="s">
        <v>1565</v>
      </c>
      <c r="I3629" s="16" t="s">
        <v>296</v>
      </c>
      <c r="J3629" s="16">
        <v>16.205400099999999</v>
      </c>
      <c r="K3629" s="16">
        <v>-97.523094999999998</v>
      </c>
      <c r="L3629" s="16" t="str">
        <f>HYPERLINK("https://maps.google.com/?q=16.2054001,-97.523095", "🔗 Ver Mapa")</f>
        <v>🔗 Ver Mapa</v>
      </c>
    </row>
    <row r="3630" spans="1:12" ht="43.5" x14ac:dyDescent="0.35">
      <c r="A3630" s="6" t="s">
        <v>4</v>
      </c>
      <c r="B3630" s="6" t="s">
        <v>17</v>
      </c>
      <c r="C3630" s="6" t="s">
        <v>1564</v>
      </c>
      <c r="D3630" s="11" t="s">
        <v>64</v>
      </c>
      <c r="E3630" s="17" t="s">
        <v>74</v>
      </c>
      <c r="F3630" s="17" t="s">
        <v>453</v>
      </c>
      <c r="G3630" s="11" t="s">
        <v>1259</v>
      </c>
      <c r="H3630" s="11" t="s">
        <v>1565</v>
      </c>
      <c r="I3630" s="17" t="s">
        <v>296</v>
      </c>
      <c r="J3630" s="17">
        <v>16.205403100000002</v>
      </c>
      <c r="K3630" s="17">
        <v>-97.523218999999997</v>
      </c>
      <c r="L3630" s="17" t="str">
        <f>HYPERLINK("https://maps.google.com/?q=16.2054031,-97.523219", "🔗 Ver Mapa")</f>
        <v>🔗 Ver Mapa</v>
      </c>
    </row>
    <row r="3631" spans="1:12" ht="43.5" x14ac:dyDescent="0.35">
      <c r="A3631" s="5" t="s">
        <v>4</v>
      </c>
      <c r="B3631" s="5" t="s">
        <v>17</v>
      </c>
      <c r="C3631" s="5" t="s">
        <v>1564</v>
      </c>
      <c r="D3631" s="8" t="s">
        <v>64</v>
      </c>
      <c r="E3631" s="16" t="s">
        <v>74</v>
      </c>
      <c r="F3631" s="16" t="s">
        <v>453</v>
      </c>
      <c r="G3631" s="8" t="s">
        <v>1259</v>
      </c>
      <c r="H3631" s="8" t="s">
        <v>1565</v>
      </c>
      <c r="I3631" s="16" t="s">
        <v>296</v>
      </c>
      <c r="J3631" s="16">
        <v>16.205407099999999</v>
      </c>
      <c r="K3631" s="16">
        <v>-97.523795100000001</v>
      </c>
      <c r="L3631" s="16" t="str">
        <f>HYPERLINK("https://maps.google.com/?q=16.2054071,-97.5237951", "🔗 Ver Mapa")</f>
        <v>🔗 Ver Mapa</v>
      </c>
    </row>
    <row r="3632" spans="1:12" ht="43.5" x14ac:dyDescent="0.35">
      <c r="A3632" s="6" t="s">
        <v>4</v>
      </c>
      <c r="B3632" s="6" t="s">
        <v>17</v>
      </c>
      <c r="C3632" s="6" t="s">
        <v>1564</v>
      </c>
      <c r="D3632" s="11" t="s">
        <v>64</v>
      </c>
      <c r="E3632" s="17" t="s">
        <v>74</v>
      </c>
      <c r="F3632" s="17" t="s">
        <v>453</v>
      </c>
      <c r="G3632" s="11" t="s">
        <v>1259</v>
      </c>
      <c r="H3632" s="11" t="s">
        <v>1565</v>
      </c>
      <c r="I3632" s="17" t="s">
        <v>296</v>
      </c>
      <c r="J3632" s="17">
        <v>16.2054151</v>
      </c>
      <c r="K3632" s="17">
        <v>-97.530112000000003</v>
      </c>
      <c r="L3632" s="17" t="str">
        <f>HYPERLINK("https://maps.google.com/?q=16.2054151,-97.530112", "🔗 Ver Mapa")</f>
        <v>🔗 Ver Mapa</v>
      </c>
    </row>
    <row r="3633" spans="1:12" ht="43.5" x14ac:dyDescent="0.35">
      <c r="A3633" s="5" t="s">
        <v>4</v>
      </c>
      <c r="B3633" s="5" t="s">
        <v>17</v>
      </c>
      <c r="C3633" s="5" t="s">
        <v>1564</v>
      </c>
      <c r="D3633" s="8" t="s">
        <v>64</v>
      </c>
      <c r="E3633" s="16" t="s">
        <v>74</v>
      </c>
      <c r="F3633" s="16" t="s">
        <v>453</v>
      </c>
      <c r="G3633" s="8" t="s">
        <v>1259</v>
      </c>
      <c r="H3633" s="8" t="s">
        <v>1565</v>
      </c>
      <c r="I3633" s="16" t="s">
        <v>296</v>
      </c>
      <c r="J3633" s="16">
        <v>16.205418099999999</v>
      </c>
      <c r="K3633" s="16">
        <v>-97.523522</v>
      </c>
      <c r="L3633" s="16" t="str">
        <f>HYPERLINK("https://maps.google.com/?q=16.2054181,-97.523522", "🔗 Ver Mapa")</f>
        <v>🔗 Ver Mapa</v>
      </c>
    </row>
    <row r="3634" spans="1:12" ht="43.5" x14ac:dyDescent="0.35">
      <c r="A3634" s="6" t="s">
        <v>4</v>
      </c>
      <c r="B3634" s="6" t="s">
        <v>17</v>
      </c>
      <c r="C3634" s="6" t="s">
        <v>1564</v>
      </c>
      <c r="D3634" s="11" t="s">
        <v>64</v>
      </c>
      <c r="E3634" s="17" t="s">
        <v>74</v>
      </c>
      <c r="F3634" s="17" t="s">
        <v>453</v>
      </c>
      <c r="G3634" s="11" t="s">
        <v>1259</v>
      </c>
      <c r="H3634" s="11" t="s">
        <v>1565</v>
      </c>
      <c r="I3634" s="17" t="s">
        <v>296</v>
      </c>
      <c r="J3634" s="17">
        <v>16.205418099999999</v>
      </c>
      <c r="K3634" s="17">
        <v>-97.529318000000004</v>
      </c>
      <c r="L3634" s="17" t="str">
        <f>HYPERLINK("https://maps.google.com/?q=16.2054181,-97.529318", "🔗 Ver Mapa")</f>
        <v>🔗 Ver Mapa</v>
      </c>
    </row>
    <row r="3635" spans="1:12" ht="43.5" x14ac:dyDescent="0.35">
      <c r="A3635" s="5" t="s">
        <v>4</v>
      </c>
      <c r="B3635" s="5" t="s">
        <v>17</v>
      </c>
      <c r="C3635" s="5" t="s">
        <v>1564</v>
      </c>
      <c r="D3635" s="8" t="s">
        <v>64</v>
      </c>
      <c r="E3635" s="16" t="s">
        <v>74</v>
      </c>
      <c r="F3635" s="16" t="s">
        <v>453</v>
      </c>
      <c r="G3635" s="8" t="s">
        <v>1259</v>
      </c>
      <c r="H3635" s="8" t="s">
        <v>1565</v>
      </c>
      <c r="I3635" s="16" t="s">
        <v>296</v>
      </c>
      <c r="J3635" s="16">
        <v>16.2054221</v>
      </c>
      <c r="K3635" s="16">
        <v>-97.523465999999999</v>
      </c>
      <c r="L3635" s="16" t="str">
        <f>HYPERLINK("https://maps.google.com/?q=16.2054221,-97.523466", "🔗 Ver Mapa")</f>
        <v>🔗 Ver Mapa</v>
      </c>
    </row>
    <row r="3636" spans="1:12" ht="43.5" x14ac:dyDescent="0.35">
      <c r="A3636" s="6" t="s">
        <v>4</v>
      </c>
      <c r="B3636" s="6" t="s">
        <v>17</v>
      </c>
      <c r="C3636" s="6" t="s">
        <v>1564</v>
      </c>
      <c r="D3636" s="11" t="s">
        <v>64</v>
      </c>
      <c r="E3636" s="17" t="s">
        <v>74</v>
      </c>
      <c r="F3636" s="17" t="s">
        <v>453</v>
      </c>
      <c r="G3636" s="11" t="s">
        <v>1259</v>
      </c>
      <c r="H3636" s="11" t="s">
        <v>1565</v>
      </c>
      <c r="I3636" s="17" t="s">
        <v>296</v>
      </c>
      <c r="J3636" s="17">
        <v>16.205425099999999</v>
      </c>
      <c r="K3636" s="17">
        <v>-97.525676000000004</v>
      </c>
      <c r="L3636" s="17" t="str">
        <f>HYPERLINK("https://maps.google.com/?q=16.2054251,-97.525676", "🔗 Ver Mapa")</f>
        <v>🔗 Ver Mapa</v>
      </c>
    </row>
    <row r="3637" spans="1:12" ht="43.5" x14ac:dyDescent="0.35">
      <c r="A3637" s="5" t="s">
        <v>4</v>
      </c>
      <c r="B3637" s="5" t="s">
        <v>17</v>
      </c>
      <c r="C3637" s="5" t="s">
        <v>1564</v>
      </c>
      <c r="D3637" s="8" t="s">
        <v>64</v>
      </c>
      <c r="E3637" s="16" t="s">
        <v>74</v>
      </c>
      <c r="F3637" s="16" t="s">
        <v>453</v>
      </c>
      <c r="G3637" s="8" t="s">
        <v>1259</v>
      </c>
      <c r="H3637" s="8" t="s">
        <v>1565</v>
      </c>
      <c r="I3637" s="16" t="s">
        <v>296</v>
      </c>
      <c r="J3637" s="16">
        <v>16.205445000000001</v>
      </c>
      <c r="K3637" s="16">
        <v>-97.525260000000003</v>
      </c>
      <c r="L3637" s="16" t="str">
        <f>HYPERLINK("https://maps.google.com/?q=16.205445,-97.52526", "🔗 Ver Mapa")</f>
        <v>🔗 Ver Mapa</v>
      </c>
    </row>
    <row r="3638" spans="1:12" ht="43.5" x14ac:dyDescent="0.35">
      <c r="A3638" s="6" t="s">
        <v>4</v>
      </c>
      <c r="B3638" s="6" t="s">
        <v>17</v>
      </c>
      <c r="C3638" s="6" t="s">
        <v>1564</v>
      </c>
      <c r="D3638" s="11" t="s">
        <v>64</v>
      </c>
      <c r="E3638" s="17" t="s">
        <v>74</v>
      </c>
      <c r="F3638" s="17" t="s">
        <v>453</v>
      </c>
      <c r="G3638" s="11" t="s">
        <v>1259</v>
      </c>
      <c r="H3638" s="11" t="s">
        <v>1565</v>
      </c>
      <c r="I3638" s="17" t="s">
        <v>296</v>
      </c>
      <c r="J3638" s="17">
        <v>16.205447100000001</v>
      </c>
      <c r="K3638" s="17">
        <v>-97.524821000000003</v>
      </c>
      <c r="L3638" s="17" t="str">
        <f>HYPERLINK("https://maps.google.com/?q=16.2054471,-97.524821", "🔗 Ver Mapa")</f>
        <v>🔗 Ver Mapa</v>
      </c>
    </row>
    <row r="3639" spans="1:12" ht="43.5" x14ac:dyDescent="0.35">
      <c r="A3639" s="5" t="s">
        <v>4</v>
      </c>
      <c r="B3639" s="5" t="s">
        <v>17</v>
      </c>
      <c r="C3639" s="5" t="s">
        <v>1564</v>
      </c>
      <c r="D3639" s="8" t="s">
        <v>64</v>
      </c>
      <c r="E3639" s="16" t="s">
        <v>74</v>
      </c>
      <c r="F3639" s="16" t="s">
        <v>453</v>
      </c>
      <c r="G3639" s="8" t="s">
        <v>1259</v>
      </c>
      <c r="H3639" s="8" t="s">
        <v>1565</v>
      </c>
      <c r="I3639" s="16" t="s">
        <v>296</v>
      </c>
      <c r="J3639" s="16">
        <v>16.205454100000001</v>
      </c>
      <c r="K3639" s="16">
        <v>-97.524989099999999</v>
      </c>
      <c r="L3639" s="16" t="str">
        <f>HYPERLINK("https://maps.google.com/?q=16.2054541,-97.5249891", "🔗 Ver Mapa")</f>
        <v>🔗 Ver Mapa</v>
      </c>
    </row>
    <row r="3640" spans="1:12" ht="43.5" x14ac:dyDescent="0.35">
      <c r="A3640" s="6" t="s">
        <v>4</v>
      </c>
      <c r="B3640" s="6" t="s">
        <v>17</v>
      </c>
      <c r="C3640" s="6" t="s">
        <v>1564</v>
      </c>
      <c r="D3640" s="11" t="s">
        <v>64</v>
      </c>
      <c r="E3640" s="17" t="s">
        <v>74</v>
      </c>
      <c r="F3640" s="17" t="s">
        <v>453</v>
      </c>
      <c r="G3640" s="11" t="s">
        <v>1259</v>
      </c>
      <c r="H3640" s="11" t="s">
        <v>1565</v>
      </c>
      <c r="I3640" s="17" t="s">
        <v>296</v>
      </c>
      <c r="J3640" s="17">
        <v>16.205461100000001</v>
      </c>
      <c r="K3640" s="17">
        <v>-97.52328</v>
      </c>
      <c r="L3640" s="17" t="str">
        <f>HYPERLINK("https://maps.google.com/?q=16.2054611,-97.52328", "🔗 Ver Mapa")</f>
        <v>🔗 Ver Mapa</v>
      </c>
    </row>
    <row r="3641" spans="1:12" ht="43.5" x14ac:dyDescent="0.35">
      <c r="A3641" s="5" t="s">
        <v>4</v>
      </c>
      <c r="B3641" s="5" t="s">
        <v>17</v>
      </c>
      <c r="C3641" s="5" t="s">
        <v>1564</v>
      </c>
      <c r="D3641" s="8" t="s">
        <v>64</v>
      </c>
      <c r="E3641" s="16" t="s">
        <v>74</v>
      </c>
      <c r="F3641" s="16" t="s">
        <v>453</v>
      </c>
      <c r="G3641" s="8" t="s">
        <v>1259</v>
      </c>
      <c r="H3641" s="8" t="s">
        <v>1565</v>
      </c>
      <c r="I3641" s="16" t="s">
        <v>296</v>
      </c>
      <c r="J3641" s="16">
        <v>16.205466099999999</v>
      </c>
      <c r="K3641" s="16">
        <v>-97.527749999999997</v>
      </c>
      <c r="L3641" s="16" t="str">
        <f>HYPERLINK("https://maps.google.com/?q=16.2054661,-97.52775", "🔗 Ver Mapa")</f>
        <v>🔗 Ver Mapa</v>
      </c>
    </row>
    <row r="3642" spans="1:12" ht="43.5" x14ac:dyDescent="0.35">
      <c r="A3642" s="6" t="s">
        <v>4</v>
      </c>
      <c r="B3642" s="6" t="s">
        <v>17</v>
      </c>
      <c r="C3642" s="6" t="s">
        <v>1564</v>
      </c>
      <c r="D3642" s="11" t="s">
        <v>64</v>
      </c>
      <c r="E3642" s="17" t="s">
        <v>74</v>
      </c>
      <c r="F3642" s="17" t="s">
        <v>453</v>
      </c>
      <c r="G3642" s="11" t="s">
        <v>1259</v>
      </c>
      <c r="H3642" s="11" t="s">
        <v>1565</v>
      </c>
      <c r="I3642" s="17" t="s">
        <v>296</v>
      </c>
      <c r="J3642" s="17">
        <v>16.205466099999999</v>
      </c>
      <c r="K3642" s="17">
        <v>-97.527908999999994</v>
      </c>
      <c r="L3642" s="17" t="str">
        <f>HYPERLINK("https://maps.google.com/?q=16.2054661,-97.527909", "🔗 Ver Mapa")</f>
        <v>🔗 Ver Mapa</v>
      </c>
    </row>
    <row r="3643" spans="1:12" ht="43.5" x14ac:dyDescent="0.35">
      <c r="A3643" s="5" t="s">
        <v>4</v>
      </c>
      <c r="B3643" s="5" t="s">
        <v>17</v>
      </c>
      <c r="C3643" s="5" t="s">
        <v>1564</v>
      </c>
      <c r="D3643" s="8" t="s">
        <v>64</v>
      </c>
      <c r="E3643" s="16" t="s">
        <v>74</v>
      </c>
      <c r="F3643" s="16" t="s">
        <v>453</v>
      </c>
      <c r="G3643" s="8" t="s">
        <v>1259</v>
      </c>
      <c r="H3643" s="8" t="s">
        <v>1565</v>
      </c>
      <c r="I3643" s="16" t="s">
        <v>296</v>
      </c>
      <c r="J3643" s="16">
        <v>16.205472</v>
      </c>
      <c r="K3643" s="16">
        <v>-97.523435000000006</v>
      </c>
      <c r="L3643" s="16" t="str">
        <f>HYPERLINK("https://maps.google.com/?q=16.205472,-97.523435", "🔗 Ver Mapa")</f>
        <v>🔗 Ver Mapa</v>
      </c>
    </row>
    <row r="3644" spans="1:12" ht="43.5" x14ac:dyDescent="0.35">
      <c r="A3644" s="6" t="s">
        <v>4</v>
      </c>
      <c r="B3644" s="6" t="s">
        <v>17</v>
      </c>
      <c r="C3644" s="6" t="s">
        <v>1564</v>
      </c>
      <c r="D3644" s="11" t="s">
        <v>64</v>
      </c>
      <c r="E3644" s="17" t="s">
        <v>74</v>
      </c>
      <c r="F3644" s="17" t="s">
        <v>453</v>
      </c>
      <c r="G3644" s="11" t="s">
        <v>1259</v>
      </c>
      <c r="H3644" s="11" t="s">
        <v>1565</v>
      </c>
      <c r="I3644" s="17" t="s">
        <v>296</v>
      </c>
      <c r="J3644" s="17">
        <v>16.205475100000001</v>
      </c>
      <c r="K3644" s="17">
        <v>-97.525991000000005</v>
      </c>
      <c r="L3644" s="17" t="str">
        <f>HYPERLINK("https://maps.google.com/?q=16.2054751,-97.525991", "🔗 Ver Mapa")</f>
        <v>🔗 Ver Mapa</v>
      </c>
    </row>
    <row r="3645" spans="1:12" ht="43.5" x14ac:dyDescent="0.35">
      <c r="A3645" s="5" t="s">
        <v>4</v>
      </c>
      <c r="B3645" s="5" t="s">
        <v>17</v>
      </c>
      <c r="C3645" s="5" t="s">
        <v>1564</v>
      </c>
      <c r="D3645" s="8" t="s">
        <v>64</v>
      </c>
      <c r="E3645" s="16" t="s">
        <v>74</v>
      </c>
      <c r="F3645" s="16" t="s">
        <v>453</v>
      </c>
      <c r="G3645" s="8" t="s">
        <v>1259</v>
      </c>
      <c r="H3645" s="8" t="s">
        <v>1565</v>
      </c>
      <c r="I3645" s="16" t="s">
        <v>296</v>
      </c>
      <c r="J3645" s="16">
        <v>16.205483099999999</v>
      </c>
      <c r="K3645" s="16">
        <v>-97.527638999999994</v>
      </c>
      <c r="L3645" s="16" t="str">
        <f>HYPERLINK("https://maps.google.com/?q=16.2054831,-97.527639", "🔗 Ver Mapa")</f>
        <v>🔗 Ver Mapa</v>
      </c>
    </row>
    <row r="3646" spans="1:12" ht="43.5" x14ac:dyDescent="0.35">
      <c r="A3646" s="6" t="s">
        <v>4</v>
      </c>
      <c r="B3646" s="6" t="s">
        <v>17</v>
      </c>
      <c r="C3646" s="6" t="s">
        <v>1564</v>
      </c>
      <c r="D3646" s="11" t="s">
        <v>64</v>
      </c>
      <c r="E3646" s="17" t="s">
        <v>74</v>
      </c>
      <c r="F3646" s="17" t="s">
        <v>453</v>
      </c>
      <c r="G3646" s="11" t="s">
        <v>1259</v>
      </c>
      <c r="H3646" s="11" t="s">
        <v>1565</v>
      </c>
      <c r="I3646" s="17" t="s">
        <v>296</v>
      </c>
      <c r="J3646" s="17">
        <v>16.205518099999999</v>
      </c>
      <c r="K3646" s="17">
        <v>-97.528060999999994</v>
      </c>
      <c r="L3646" s="17" t="str">
        <f>HYPERLINK("https://maps.google.com/?q=16.2055181,-97.528061", "🔗 Ver Mapa")</f>
        <v>🔗 Ver Mapa</v>
      </c>
    </row>
    <row r="3647" spans="1:12" ht="43.5" x14ac:dyDescent="0.35">
      <c r="A3647" s="5" t="s">
        <v>4</v>
      </c>
      <c r="B3647" s="5" t="s">
        <v>17</v>
      </c>
      <c r="C3647" s="5" t="s">
        <v>1564</v>
      </c>
      <c r="D3647" s="8" t="s">
        <v>64</v>
      </c>
      <c r="E3647" s="16" t="s">
        <v>74</v>
      </c>
      <c r="F3647" s="16" t="s">
        <v>453</v>
      </c>
      <c r="G3647" s="8" t="s">
        <v>1259</v>
      </c>
      <c r="H3647" s="8" t="s">
        <v>1565</v>
      </c>
      <c r="I3647" s="16" t="s">
        <v>296</v>
      </c>
      <c r="J3647" s="16">
        <v>16.2055221</v>
      </c>
      <c r="K3647" s="16">
        <v>-97.527349000000001</v>
      </c>
      <c r="L3647" s="16" t="str">
        <f>HYPERLINK("https://maps.google.com/?q=16.2055221,-97.527349", "🔗 Ver Mapa")</f>
        <v>🔗 Ver Mapa</v>
      </c>
    </row>
    <row r="3648" spans="1:12" ht="43.5" x14ac:dyDescent="0.35">
      <c r="A3648" s="6" t="s">
        <v>4</v>
      </c>
      <c r="B3648" s="6" t="s">
        <v>17</v>
      </c>
      <c r="C3648" s="6" t="s">
        <v>1564</v>
      </c>
      <c r="D3648" s="11" t="s">
        <v>64</v>
      </c>
      <c r="E3648" s="17" t="s">
        <v>74</v>
      </c>
      <c r="F3648" s="17" t="s">
        <v>453</v>
      </c>
      <c r="G3648" s="11" t="s">
        <v>1259</v>
      </c>
      <c r="H3648" s="11" t="s">
        <v>1565</v>
      </c>
      <c r="I3648" s="17" t="s">
        <v>296</v>
      </c>
      <c r="J3648" s="17">
        <v>16.205548100000001</v>
      </c>
      <c r="K3648" s="17">
        <v>-97.527113</v>
      </c>
      <c r="L3648" s="17" t="str">
        <f>HYPERLINK("https://maps.google.com/?q=16.2055481,-97.527113", "🔗 Ver Mapa")</f>
        <v>🔗 Ver Mapa</v>
      </c>
    </row>
    <row r="3649" spans="1:12" ht="43.5" x14ac:dyDescent="0.35">
      <c r="A3649" s="5" t="s">
        <v>4</v>
      </c>
      <c r="B3649" s="5" t="s">
        <v>17</v>
      </c>
      <c r="C3649" s="5" t="s">
        <v>1564</v>
      </c>
      <c r="D3649" s="8" t="s">
        <v>64</v>
      </c>
      <c r="E3649" s="16" t="s">
        <v>74</v>
      </c>
      <c r="F3649" s="16" t="s">
        <v>453</v>
      </c>
      <c r="G3649" s="8" t="s">
        <v>1259</v>
      </c>
      <c r="H3649" s="8" t="s">
        <v>1565</v>
      </c>
      <c r="I3649" s="16" t="s">
        <v>296</v>
      </c>
      <c r="J3649" s="16">
        <v>16.205557299999999</v>
      </c>
      <c r="K3649" s="16">
        <v>-97.526870000000002</v>
      </c>
      <c r="L3649" s="16" t="str">
        <f>HYPERLINK("https://maps.google.com/?q=16.2055573,-97.52687", "🔗 Ver Mapa")</f>
        <v>🔗 Ver Mapa</v>
      </c>
    </row>
    <row r="3650" spans="1:12" ht="43.5" x14ac:dyDescent="0.35">
      <c r="A3650" s="6" t="s">
        <v>4</v>
      </c>
      <c r="B3650" s="6" t="s">
        <v>17</v>
      </c>
      <c r="C3650" s="6" t="s">
        <v>1564</v>
      </c>
      <c r="D3650" s="11" t="s">
        <v>64</v>
      </c>
      <c r="E3650" s="17" t="s">
        <v>74</v>
      </c>
      <c r="F3650" s="17" t="s">
        <v>453</v>
      </c>
      <c r="G3650" s="11" t="s">
        <v>1259</v>
      </c>
      <c r="H3650" s="11" t="s">
        <v>1565</v>
      </c>
      <c r="I3650" s="17" t="s">
        <v>296</v>
      </c>
      <c r="J3650" s="17">
        <v>16.2055601</v>
      </c>
      <c r="K3650" s="17">
        <v>-97.526795000000007</v>
      </c>
      <c r="L3650" s="17" t="str">
        <f>HYPERLINK("https://maps.google.com/?q=16.2055601,-97.526795", "🔗 Ver Mapa")</f>
        <v>🔗 Ver Mapa</v>
      </c>
    </row>
    <row r="3651" spans="1:12" ht="43.5" x14ac:dyDescent="0.35">
      <c r="A3651" s="5" t="s">
        <v>4</v>
      </c>
      <c r="B3651" s="5" t="s">
        <v>17</v>
      </c>
      <c r="C3651" s="5" t="s">
        <v>1564</v>
      </c>
      <c r="D3651" s="8" t="s">
        <v>64</v>
      </c>
      <c r="E3651" s="16" t="s">
        <v>74</v>
      </c>
      <c r="F3651" s="16" t="s">
        <v>453</v>
      </c>
      <c r="G3651" s="8" t="s">
        <v>1259</v>
      </c>
      <c r="H3651" s="8" t="s">
        <v>1565</v>
      </c>
      <c r="I3651" s="16" t="s">
        <v>296</v>
      </c>
      <c r="J3651" s="16">
        <v>16.2055671</v>
      </c>
      <c r="K3651" s="16">
        <v>-97.526325999999997</v>
      </c>
      <c r="L3651" s="16" t="str">
        <f>HYPERLINK("https://maps.google.com/?q=16.2055671,-97.526326", "🔗 Ver Mapa")</f>
        <v>🔗 Ver Mapa</v>
      </c>
    </row>
    <row r="3652" spans="1:12" ht="43.5" x14ac:dyDescent="0.35">
      <c r="A3652" s="6" t="s">
        <v>4</v>
      </c>
      <c r="B3652" s="6" t="s">
        <v>17</v>
      </c>
      <c r="C3652" s="6" t="s">
        <v>1564</v>
      </c>
      <c r="D3652" s="11" t="s">
        <v>64</v>
      </c>
      <c r="E3652" s="17" t="s">
        <v>74</v>
      </c>
      <c r="F3652" s="17" t="s">
        <v>453</v>
      </c>
      <c r="G3652" s="11" t="s">
        <v>1259</v>
      </c>
      <c r="H3652" s="11" t="s">
        <v>1565</v>
      </c>
      <c r="I3652" s="17" t="s">
        <v>296</v>
      </c>
      <c r="J3652" s="17">
        <v>16.205583099999998</v>
      </c>
      <c r="K3652" s="17">
        <v>-97.529489999999996</v>
      </c>
      <c r="L3652" s="17" t="str">
        <f>HYPERLINK("https://maps.google.com/?q=16.2055831,-97.52949", "🔗 Ver Mapa")</f>
        <v>🔗 Ver Mapa</v>
      </c>
    </row>
    <row r="3653" spans="1:12" ht="43.5" x14ac:dyDescent="0.35">
      <c r="A3653" s="5" t="s">
        <v>4</v>
      </c>
      <c r="B3653" s="5" t="s">
        <v>17</v>
      </c>
      <c r="C3653" s="5" t="s">
        <v>1564</v>
      </c>
      <c r="D3653" s="8" t="s">
        <v>64</v>
      </c>
      <c r="E3653" s="16" t="s">
        <v>74</v>
      </c>
      <c r="F3653" s="16" t="s">
        <v>453</v>
      </c>
      <c r="G3653" s="8" t="s">
        <v>1259</v>
      </c>
      <c r="H3653" s="8" t="s">
        <v>1565</v>
      </c>
      <c r="I3653" s="16" t="s">
        <v>296</v>
      </c>
      <c r="J3653" s="16">
        <v>16.205587099999999</v>
      </c>
      <c r="K3653" s="16">
        <v>-97.528175000000005</v>
      </c>
      <c r="L3653" s="16" t="str">
        <f>HYPERLINK("https://maps.google.com/?q=16.2055871,-97.528175", "🔗 Ver Mapa")</f>
        <v>🔗 Ver Mapa</v>
      </c>
    </row>
    <row r="3654" spans="1:12" ht="43.5" x14ac:dyDescent="0.35">
      <c r="A3654" s="6" t="s">
        <v>4</v>
      </c>
      <c r="B3654" s="6" t="s">
        <v>17</v>
      </c>
      <c r="C3654" s="6" t="s">
        <v>1564</v>
      </c>
      <c r="D3654" s="11" t="s">
        <v>64</v>
      </c>
      <c r="E3654" s="17" t="s">
        <v>74</v>
      </c>
      <c r="F3654" s="17" t="s">
        <v>453</v>
      </c>
      <c r="G3654" s="11" t="s">
        <v>1259</v>
      </c>
      <c r="H3654" s="11" t="s">
        <v>1565</v>
      </c>
      <c r="I3654" s="17" t="s">
        <v>296</v>
      </c>
      <c r="J3654" s="17">
        <v>16.205673099999998</v>
      </c>
      <c r="K3654" s="17">
        <v>-97.528872000000007</v>
      </c>
      <c r="L3654" s="17" t="str">
        <f>HYPERLINK("https://maps.google.com/?q=16.2056731,-97.528872", "🔗 Ver Mapa")</f>
        <v>🔗 Ver Mapa</v>
      </c>
    </row>
    <row r="3655" spans="1:12" ht="43.5" x14ac:dyDescent="0.35">
      <c r="A3655" s="5" t="s">
        <v>4</v>
      </c>
      <c r="B3655" s="5" t="s">
        <v>17</v>
      </c>
      <c r="C3655" s="5" t="s">
        <v>1564</v>
      </c>
      <c r="D3655" s="8" t="s">
        <v>64</v>
      </c>
      <c r="E3655" s="16" t="s">
        <v>74</v>
      </c>
      <c r="F3655" s="16" t="s">
        <v>453</v>
      </c>
      <c r="G3655" s="8" t="s">
        <v>1259</v>
      </c>
      <c r="H3655" s="8" t="s">
        <v>1565</v>
      </c>
      <c r="I3655" s="16" t="s">
        <v>296</v>
      </c>
      <c r="J3655" s="16">
        <v>16.2056811</v>
      </c>
      <c r="K3655" s="16">
        <v>-97.528238999999999</v>
      </c>
      <c r="L3655" s="16" t="str">
        <f>HYPERLINK("https://maps.google.com/?q=16.2056811,-97.528239", "🔗 Ver Mapa")</f>
        <v>🔗 Ver Mapa</v>
      </c>
    </row>
    <row r="3656" spans="1:12" ht="43.5" x14ac:dyDescent="0.35">
      <c r="A3656" s="6" t="s">
        <v>4</v>
      </c>
      <c r="B3656" s="6" t="s">
        <v>17</v>
      </c>
      <c r="C3656" s="6" t="s">
        <v>1564</v>
      </c>
      <c r="D3656" s="11" t="s">
        <v>64</v>
      </c>
      <c r="E3656" s="17" t="s">
        <v>74</v>
      </c>
      <c r="F3656" s="17" t="s">
        <v>453</v>
      </c>
      <c r="G3656" s="11" t="s">
        <v>1259</v>
      </c>
      <c r="H3656" s="11" t="s">
        <v>1565</v>
      </c>
      <c r="I3656" s="17" t="s">
        <v>296</v>
      </c>
      <c r="J3656" s="17">
        <v>16.205721100000002</v>
      </c>
      <c r="K3656" s="17">
        <v>-97.529624999999996</v>
      </c>
      <c r="L3656" s="17" t="str">
        <f>HYPERLINK("https://maps.google.com/?q=16.2057211,-97.529625", "🔗 Ver Mapa")</f>
        <v>🔗 Ver Mapa</v>
      </c>
    </row>
    <row r="3657" spans="1:12" ht="43.5" x14ac:dyDescent="0.35">
      <c r="A3657" s="5" t="s">
        <v>4</v>
      </c>
      <c r="B3657" s="5" t="s">
        <v>17</v>
      </c>
      <c r="C3657" s="5" t="s">
        <v>1564</v>
      </c>
      <c r="D3657" s="8" t="s">
        <v>64</v>
      </c>
      <c r="E3657" s="16" t="s">
        <v>74</v>
      </c>
      <c r="F3657" s="16" t="s">
        <v>453</v>
      </c>
      <c r="G3657" s="8" t="s">
        <v>1259</v>
      </c>
      <c r="H3657" s="8" t="s">
        <v>1565</v>
      </c>
      <c r="I3657" s="16" t="s">
        <v>296</v>
      </c>
      <c r="J3657" s="16">
        <v>16.2057261</v>
      </c>
      <c r="K3657" s="16">
        <v>-97.528326100000001</v>
      </c>
      <c r="L3657" s="16" t="str">
        <f>HYPERLINK("https://maps.google.com/?q=16.2057261,-97.5283261", "🔗 Ver Mapa")</f>
        <v>🔗 Ver Mapa</v>
      </c>
    </row>
    <row r="3658" spans="1:12" ht="43.5" x14ac:dyDescent="0.35">
      <c r="A3658" s="6" t="s">
        <v>4</v>
      </c>
      <c r="B3658" s="6" t="s">
        <v>17</v>
      </c>
      <c r="C3658" s="6" t="s">
        <v>1564</v>
      </c>
      <c r="D3658" s="11" t="s">
        <v>64</v>
      </c>
      <c r="E3658" s="17" t="s">
        <v>74</v>
      </c>
      <c r="F3658" s="17" t="s">
        <v>453</v>
      </c>
      <c r="G3658" s="11" t="s">
        <v>1259</v>
      </c>
      <c r="H3658" s="11" t="s">
        <v>1565</v>
      </c>
      <c r="I3658" s="17" t="s">
        <v>296</v>
      </c>
      <c r="J3658" s="17">
        <v>16.205770099999999</v>
      </c>
      <c r="K3658" s="17">
        <v>-97.526717000000005</v>
      </c>
      <c r="L3658" s="17" t="str">
        <f>HYPERLINK("https://maps.google.com/?q=16.2057701,-97.526717", "🔗 Ver Mapa")</f>
        <v>🔗 Ver Mapa</v>
      </c>
    </row>
    <row r="3659" spans="1:12" ht="43.5" x14ac:dyDescent="0.35">
      <c r="A3659" s="5" t="s">
        <v>4</v>
      </c>
      <c r="B3659" s="5" t="s">
        <v>17</v>
      </c>
      <c r="C3659" s="5" t="s">
        <v>1564</v>
      </c>
      <c r="D3659" s="8" t="s">
        <v>64</v>
      </c>
      <c r="E3659" s="16" t="s">
        <v>74</v>
      </c>
      <c r="F3659" s="16" t="s">
        <v>453</v>
      </c>
      <c r="G3659" s="8" t="s">
        <v>1259</v>
      </c>
      <c r="H3659" s="8" t="s">
        <v>1565</v>
      </c>
      <c r="I3659" s="16" t="s">
        <v>296</v>
      </c>
      <c r="J3659" s="16">
        <v>16.2057991</v>
      </c>
      <c r="K3659" s="16">
        <v>-97.528149999999997</v>
      </c>
      <c r="L3659" s="16" t="str">
        <f>HYPERLINK("https://maps.google.com/?q=16.2057991,-97.52815", "🔗 Ver Mapa")</f>
        <v>🔗 Ver Mapa</v>
      </c>
    </row>
    <row r="3660" spans="1:12" ht="43.5" x14ac:dyDescent="0.35">
      <c r="A3660" s="6" t="s">
        <v>4</v>
      </c>
      <c r="B3660" s="6" t="s">
        <v>17</v>
      </c>
      <c r="C3660" s="6" t="s">
        <v>1564</v>
      </c>
      <c r="D3660" s="11" t="s">
        <v>64</v>
      </c>
      <c r="E3660" s="17" t="s">
        <v>74</v>
      </c>
      <c r="F3660" s="17" t="s">
        <v>453</v>
      </c>
      <c r="G3660" s="11" t="s">
        <v>1259</v>
      </c>
      <c r="H3660" s="11" t="s">
        <v>1565</v>
      </c>
      <c r="I3660" s="17" t="s">
        <v>296</v>
      </c>
      <c r="J3660" s="17">
        <v>16.205825099999998</v>
      </c>
      <c r="K3660" s="17">
        <v>-97.528845000000004</v>
      </c>
      <c r="L3660" s="17" t="str">
        <f>HYPERLINK("https://maps.google.com/?q=16.2058251,-97.528845", "🔗 Ver Mapa")</f>
        <v>🔗 Ver Mapa</v>
      </c>
    </row>
    <row r="3661" spans="1:12" ht="43.5" x14ac:dyDescent="0.35">
      <c r="A3661" s="5" t="s">
        <v>4</v>
      </c>
      <c r="B3661" s="5" t="s">
        <v>17</v>
      </c>
      <c r="C3661" s="5" t="s">
        <v>1564</v>
      </c>
      <c r="D3661" s="8" t="s">
        <v>64</v>
      </c>
      <c r="E3661" s="16" t="s">
        <v>74</v>
      </c>
      <c r="F3661" s="16" t="s">
        <v>453</v>
      </c>
      <c r="G3661" s="8" t="s">
        <v>1259</v>
      </c>
      <c r="H3661" s="8" t="s">
        <v>1565</v>
      </c>
      <c r="I3661" s="16" t="s">
        <v>296</v>
      </c>
      <c r="J3661" s="16">
        <v>16.2058371</v>
      </c>
      <c r="K3661" s="16">
        <v>-97.528494800000004</v>
      </c>
      <c r="L3661" s="16" t="str">
        <f>HYPERLINK("https://maps.google.com/?q=16.2058371,-97.5284948", "🔗 Ver Mapa")</f>
        <v>🔗 Ver Mapa</v>
      </c>
    </row>
    <row r="3662" spans="1:12" ht="43.5" x14ac:dyDescent="0.35">
      <c r="A3662" s="6" t="s">
        <v>4</v>
      </c>
      <c r="B3662" s="6" t="s">
        <v>17</v>
      </c>
      <c r="C3662" s="6" t="s">
        <v>1564</v>
      </c>
      <c r="D3662" s="11" t="s">
        <v>64</v>
      </c>
      <c r="E3662" s="17" t="s">
        <v>74</v>
      </c>
      <c r="F3662" s="17" t="s">
        <v>453</v>
      </c>
      <c r="G3662" s="11" t="s">
        <v>1259</v>
      </c>
      <c r="H3662" s="11" t="s">
        <v>1565</v>
      </c>
      <c r="I3662" s="17" t="s">
        <v>296</v>
      </c>
      <c r="J3662" s="17">
        <v>16.205853099999999</v>
      </c>
      <c r="K3662" s="17">
        <v>-97.526803999999998</v>
      </c>
      <c r="L3662" s="17" t="str">
        <f>HYPERLINK("https://maps.google.com/?q=16.2058531,-97.526804", "🔗 Ver Mapa")</f>
        <v>🔗 Ver Mapa</v>
      </c>
    </row>
    <row r="3663" spans="1:12" ht="43.5" x14ac:dyDescent="0.35">
      <c r="A3663" s="5" t="s">
        <v>4</v>
      </c>
      <c r="B3663" s="5" t="s">
        <v>17</v>
      </c>
      <c r="C3663" s="5" t="s">
        <v>1564</v>
      </c>
      <c r="D3663" s="8" t="s">
        <v>64</v>
      </c>
      <c r="E3663" s="16" t="s">
        <v>74</v>
      </c>
      <c r="F3663" s="16" t="s">
        <v>453</v>
      </c>
      <c r="G3663" s="8" t="s">
        <v>1259</v>
      </c>
      <c r="H3663" s="8" t="s">
        <v>1565</v>
      </c>
      <c r="I3663" s="16" t="s">
        <v>296</v>
      </c>
      <c r="J3663" s="16">
        <v>16.2059131</v>
      </c>
      <c r="K3663" s="16">
        <v>-97.528119000000004</v>
      </c>
      <c r="L3663" s="16" t="str">
        <f>HYPERLINK("https://maps.google.com/?q=16.2059131,-97.528119", "🔗 Ver Mapa")</f>
        <v>🔗 Ver Mapa</v>
      </c>
    </row>
    <row r="3664" spans="1:12" ht="43.5" x14ac:dyDescent="0.35">
      <c r="A3664" s="6" t="s">
        <v>4</v>
      </c>
      <c r="B3664" s="6" t="s">
        <v>17</v>
      </c>
      <c r="C3664" s="6" t="s">
        <v>1564</v>
      </c>
      <c r="D3664" s="11" t="s">
        <v>64</v>
      </c>
      <c r="E3664" s="17" t="s">
        <v>74</v>
      </c>
      <c r="F3664" s="17" t="s">
        <v>453</v>
      </c>
      <c r="G3664" s="11" t="s">
        <v>1259</v>
      </c>
      <c r="H3664" s="11" t="s">
        <v>1565</v>
      </c>
      <c r="I3664" s="17" t="s">
        <v>296</v>
      </c>
      <c r="J3664" s="17">
        <v>16.205929099999999</v>
      </c>
      <c r="K3664" s="17">
        <v>-97.529822100000004</v>
      </c>
      <c r="L3664" s="17" t="str">
        <f>HYPERLINK("https://maps.google.com/?q=16.2059291,-97.5298221", "🔗 Ver Mapa")</f>
        <v>🔗 Ver Mapa</v>
      </c>
    </row>
    <row r="3665" spans="1:12" ht="43.5" x14ac:dyDescent="0.35">
      <c r="A3665" s="5" t="s">
        <v>4</v>
      </c>
      <c r="B3665" s="5" t="s">
        <v>17</v>
      </c>
      <c r="C3665" s="5" t="s">
        <v>1564</v>
      </c>
      <c r="D3665" s="8" t="s">
        <v>64</v>
      </c>
      <c r="E3665" s="16" t="s">
        <v>74</v>
      </c>
      <c r="F3665" s="16" t="s">
        <v>453</v>
      </c>
      <c r="G3665" s="8" t="s">
        <v>1259</v>
      </c>
      <c r="H3665" s="8" t="s">
        <v>1565</v>
      </c>
      <c r="I3665" s="16" t="s">
        <v>296</v>
      </c>
      <c r="J3665" s="16">
        <v>16.205932099999998</v>
      </c>
      <c r="K3665" s="16">
        <v>-97.526860999999997</v>
      </c>
      <c r="L3665" s="16" t="str">
        <f>HYPERLINK("https://maps.google.com/?q=16.2059321,-97.526861", "🔗 Ver Mapa")</f>
        <v>🔗 Ver Mapa</v>
      </c>
    </row>
    <row r="3666" spans="1:12" ht="43.5" x14ac:dyDescent="0.35">
      <c r="A3666" s="6" t="s">
        <v>4</v>
      </c>
      <c r="B3666" s="6" t="s">
        <v>17</v>
      </c>
      <c r="C3666" s="6" t="s">
        <v>1564</v>
      </c>
      <c r="D3666" s="11" t="s">
        <v>64</v>
      </c>
      <c r="E3666" s="17" t="s">
        <v>74</v>
      </c>
      <c r="F3666" s="17" t="s">
        <v>453</v>
      </c>
      <c r="G3666" s="11" t="s">
        <v>1259</v>
      </c>
      <c r="H3666" s="11" t="s">
        <v>1565</v>
      </c>
      <c r="I3666" s="17" t="s">
        <v>296</v>
      </c>
      <c r="J3666" s="17">
        <v>16.205943099999999</v>
      </c>
      <c r="K3666" s="17">
        <v>-97.528655999999998</v>
      </c>
      <c r="L3666" s="17" t="str">
        <f>HYPERLINK("https://maps.google.com/?q=16.2059431,-97.528656", "🔗 Ver Mapa")</f>
        <v>🔗 Ver Mapa</v>
      </c>
    </row>
    <row r="3667" spans="1:12" ht="43.5" x14ac:dyDescent="0.35">
      <c r="A3667" s="5" t="s">
        <v>4</v>
      </c>
      <c r="B3667" s="5" t="s">
        <v>17</v>
      </c>
      <c r="C3667" s="5" t="s">
        <v>1564</v>
      </c>
      <c r="D3667" s="8" t="s">
        <v>64</v>
      </c>
      <c r="E3667" s="16" t="s">
        <v>74</v>
      </c>
      <c r="F3667" s="16" t="s">
        <v>453</v>
      </c>
      <c r="G3667" s="8" t="s">
        <v>1259</v>
      </c>
      <c r="H3667" s="8" t="s">
        <v>1565</v>
      </c>
      <c r="I3667" s="16" t="s">
        <v>296</v>
      </c>
      <c r="J3667" s="16">
        <v>16.206002000000002</v>
      </c>
      <c r="K3667" s="16">
        <v>-97.528818999999999</v>
      </c>
      <c r="L3667" s="16" t="str">
        <f>HYPERLINK("https://maps.google.com/?q=16.206002,-97.528819", "🔗 Ver Mapa")</f>
        <v>🔗 Ver Mapa</v>
      </c>
    </row>
    <row r="3668" spans="1:12" ht="43.5" x14ac:dyDescent="0.35">
      <c r="A3668" s="6" t="s">
        <v>4</v>
      </c>
      <c r="B3668" s="6" t="s">
        <v>17</v>
      </c>
      <c r="C3668" s="6" t="s">
        <v>1564</v>
      </c>
      <c r="D3668" s="11" t="s">
        <v>64</v>
      </c>
      <c r="E3668" s="17" t="s">
        <v>74</v>
      </c>
      <c r="F3668" s="17" t="s">
        <v>453</v>
      </c>
      <c r="G3668" s="11" t="s">
        <v>1259</v>
      </c>
      <c r="H3668" s="11" t="s">
        <v>1565</v>
      </c>
      <c r="I3668" s="17" t="s">
        <v>296</v>
      </c>
      <c r="J3668" s="17">
        <v>16.2060271</v>
      </c>
      <c r="K3668" s="17">
        <v>-97.528732000000005</v>
      </c>
      <c r="L3668" s="17" t="str">
        <f>HYPERLINK("https://maps.google.com/?q=16.2060271,-97.528732", "🔗 Ver Mapa")</f>
        <v>🔗 Ver Mapa</v>
      </c>
    </row>
    <row r="3669" spans="1:12" ht="43.5" x14ac:dyDescent="0.35">
      <c r="A3669" s="5" t="s">
        <v>4</v>
      </c>
      <c r="B3669" s="5" t="s">
        <v>17</v>
      </c>
      <c r="C3669" s="5" t="s">
        <v>1564</v>
      </c>
      <c r="D3669" s="8" t="s">
        <v>64</v>
      </c>
      <c r="E3669" s="16" t="s">
        <v>74</v>
      </c>
      <c r="F3669" s="16" t="s">
        <v>453</v>
      </c>
      <c r="G3669" s="8" t="s">
        <v>1259</v>
      </c>
      <c r="H3669" s="8" t="s">
        <v>1565</v>
      </c>
      <c r="I3669" s="16" t="s">
        <v>296</v>
      </c>
      <c r="J3669" s="16">
        <v>16.206101100000001</v>
      </c>
      <c r="K3669" s="16">
        <v>-97.528069000000002</v>
      </c>
      <c r="L3669" s="16" t="str">
        <f>HYPERLINK("https://maps.google.com/?q=16.2061011,-97.528069", "🔗 Ver Mapa")</f>
        <v>🔗 Ver Mapa</v>
      </c>
    </row>
    <row r="3670" spans="1:12" ht="43.5" x14ac:dyDescent="0.35">
      <c r="A3670" s="6" t="s">
        <v>4</v>
      </c>
      <c r="B3670" s="6" t="s">
        <v>17</v>
      </c>
      <c r="C3670" s="6" t="s">
        <v>1564</v>
      </c>
      <c r="D3670" s="11" t="s">
        <v>64</v>
      </c>
      <c r="E3670" s="17" t="s">
        <v>74</v>
      </c>
      <c r="F3670" s="17" t="s">
        <v>453</v>
      </c>
      <c r="G3670" s="11" t="s">
        <v>1259</v>
      </c>
      <c r="H3670" s="11" t="s">
        <v>1565</v>
      </c>
      <c r="I3670" s="17" t="s">
        <v>296</v>
      </c>
      <c r="J3670" s="17">
        <v>16.206102000000001</v>
      </c>
      <c r="K3670" s="17">
        <v>-97.526933999999997</v>
      </c>
      <c r="L3670" s="17" t="str">
        <f>HYPERLINK("https://maps.google.com/?q=16.206102,-97.526934", "🔗 Ver Mapa")</f>
        <v>🔗 Ver Mapa</v>
      </c>
    </row>
    <row r="3671" spans="1:12" ht="43.5" x14ac:dyDescent="0.35">
      <c r="A3671" s="5" t="s">
        <v>4</v>
      </c>
      <c r="B3671" s="5" t="s">
        <v>17</v>
      </c>
      <c r="C3671" s="5" t="s">
        <v>1564</v>
      </c>
      <c r="D3671" s="8" t="s">
        <v>64</v>
      </c>
      <c r="E3671" s="16" t="s">
        <v>74</v>
      </c>
      <c r="F3671" s="16" t="s">
        <v>453</v>
      </c>
      <c r="G3671" s="8" t="s">
        <v>1259</v>
      </c>
      <c r="H3671" s="8" t="s">
        <v>1565</v>
      </c>
      <c r="I3671" s="16" t="s">
        <v>296</v>
      </c>
      <c r="J3671" s="16">
        <v>16.206146100000002</v>
      </c>
      <c r="K3671" s="16">
        <v>-97.529995</v>
      </c>
      <c r="L3671" s="16" t="str">
        <f>HYPERLINK("https://maps.google.com/?q=16.2061461,-97.529995", "🔗 Ver Mapa")</f>
        <v>🔗 Ver Mapa</v>
      </c>
    </row>
    <row r="3672" spans="1:12" ht="43.5" x14ac:dyDescent="0.35">
      <c r="A3672" s="6" t="s">
        <v>4</v>
      </c>
      <c r="B3672" s="6" t="s">
        <v>17</v>
      </c>
      <c r="C3672" s="6" t="s">
        <v>1564</v>
      </c>
      <c r="D3672" s="11" t="s">
        <v>64</v>
      </c>
      <c r="E3672" s="17" t="s">
        <v>74</v>
      </c>
      <c r="F3672" s="17" t="s">
        <v>453</v>
      </c>
      <c r="G3672" s="11" t="s">
        <v>1259</v>
      </c>
      <c r="H3672" s="11" t="s">
        <v>1565</v>
      </c>
      <c r="I3672" s="17" t="s">
        <v>296</v>
      </c>
      <c r="J3672" s="17">
        <v>16.206188099999999</v>
      </c>
      <c r="K3672" s="17">
        <v>-97.528761000000003</v>
      </c>
      <c r="L3672" s="17" t="str">
        <f>HYPERLINK("https://maps.google.com/?q=16.2061881,-97.528761", "🔗 Ver Mapa")</f>
        <v>🔗 Ver Mapa</v>
      </c>
    </row>
    <row r="3673" spans="1:12" ht="43.5" x14ac:dyDescent="0.35">
      <c r="A3673" s="5" t="s">
        <v>4</v>
      </c>
      <c r="B3673" s="5" t="s">
        <v>17</v>
      </c>
      <c r="C3673" s="5" t="s">
        <v>1564</v>
      </c>
      <c r="D3673" s="8" t="s">
        <v>64</v>
      </c>
      <c r="E3673" s="16" t="s">
        <v>74</v>
      </c>
      <c r="F3673" s="16" t="s">
        <v>453</v>
      </c>
      <c r="G3673" s="8" t="s">
        <v>1259</v>
      </c>
      <c r="H3673" s="8" t="s">
        <v>1565</v>
      </c>
      <c r="I3673" s="16" t="s">
        <v>296</v>
      </c>
      <c r="J3673" s="16">
        <v>16.206218100000001</v>
      </c>
      <c r="K3673" s="16">
        <v>-97.528824999999998</v>
      </c>
      <c r="L3673" s="16" t="str">
        <f>HYPERLINK("https://maps.google.com/?q=16.2062181,-97.528825", "🔗 Ver Mapa")</f>
        <v>🔗 Ver Mapa</v>
      </c>
    </row>
    <row r="3674" spans="1:12" ht="43.5" x14ac:dyDescent="0.35">
      <c r="A3674" s="6" t="s">
        <v>4</v>
      </c>
      <c r="B3674" s="6" t="s">
        <v>17</v>
      </c>
      <c r="C3674" s="6" t="s">
        <v>1564</v>
      </c>
      <c r="D3674" s="11" t="s">
        <v>64</v>
      </c>
      <c r="E3674" s="17" t="s">
        <v>74</v>
      </c>
      <c r="F3674" s="17" t="s">
        <v>453</v>
      </c>
      <c r="G3674" s="11" t="s">
        <v>1259</v>
      </c>
      <c r="H3674" s="11" t="s">
        <v>1565</v>
      </c>
      <c r="I3674" s="17" t="s">
        <v>296</v>
      </c>
      <c r="J3674" s="17">
        <v>16.206237099999999</v>
      </c>
      <c r="K3674" s="17">
        <v>-97.527125999999996</v>
      </c>
      <c r="L3674" s="17" t="str">
        <f>HYPERLINK("https://maps.google.com/?q=16.2062371,-97.527126", "🔗 Ver Mapa")</f>
        <v>🔗 Ver Mapa</v>
      </c>
    </row>
    <row r="3675" spans="1:12" ht="43.5" x14ac:dyDescent="0.35">
      <c r="A3675" s="5" t="s">
        <v>4</v>
      </c>
      <c r="B3675" s="5" t="s">
        <v>17</v>
      </c>
      <c r="C3675" s="5" t="s">
        <v>1564</v>
      </c>
      <c r="D3675" s="8" t="s">
        <v>64</v>
      </c>
      <c r="E3675" s="16" t="s">
        <v>74</v>
      </c>
      <c r="F3675" s="16" t="s">
        <v>453</v>
      </c>
      <c r="G3675" s="8" t="s">
        <v>1259</v>
      </c>
      <c r="H3675" s="8" t="s">
        <v>1565</v>
      </c>
      <c r="I3675" s="16" t="s">
        <v>296</v>
      </c>
      <c r="J3675" s="16">
        <v>16.206239100000001</v>
      </c>
      <c r="K3675" s="16">
        <v>-97.527338999999998</v>
      </c>
      <c r="L3675" s="16" t="str">
        <f>HYPERLINK("https://maps.google.com/?q=16.2062391,-97.527339", "🔗 Ver Mapa")</f>
        <v>🔗 Ver Mapa</v>
      </c>
    </row>
    <row r="3676" spans="1:12" ht="43.5" x14ac:dyDescent="0.35">
      <c r="A3676" s="6" t="s">
        <v>4</v>
      </c>
      <c r="B3676" s="6" t="s">
        <v>17</v>
      </c>
      <c r="C3676" s="6" t="s">
        <v>1564</v>
      </c>
      <c r="D3676" s="11" t="s">
        <v>64</v>
      </c>
      <c r="E3676" s="17" t="s">
        <v>74</v>
      </c>
      <c r="F3676" s="17" t="s">
        <v>453</v>
      </c>
      <c r="G3676" s="11" t="s">
        <v>1259</v>
      </c>
      <c r="H3676" s="11" t="s">
        <v>1565</v>
      </c>
      <c r="I3676" s="17" t="s">
        <v>296</v>
      </c>
      <c r="J3676" s="17">
        <v>16.206302099999998</v>
      </c>
      <c r="K3676" s="17">
        <v>-97.527548999999993</v>
      </c>
      <c r="L3676" s="17" t="str">
        <f>HYPERLINK("https://maps.google.com/?q=16.2063021,-97.527549", "🔗 Ver Mapa")</f>
        <v>🔗 Ver Mapa</v>
      </c>
    </row>
    <row r="3677" spans="1:12" ht="43.5" x14ac:dyDescent="0.35">
      <c r="A3677" s="5" t="s">
        <v>4</v>
      </c>
      <c r="B3677" s="5" t="s">
        <v>17</v>
      </c>
      <c r="C3677" s="5" t="s">
        <v>1564</v>
      </c>
      <c r="D3677" s="8" t="s">
        <v>64</v>
      </c>
      <c r="E3677" s="16" t="s">
        <v>74</v>
      </c>
      <c r="F3677" s="16" t="s">
        <v>453</v>
      </c>
      <c r="G3677" s="8" t="s">
        <v>1259</v>
      </c>
      <c r="H3677" s="8" t="s">
        <v>1565</v>
      </c>
      <c r="I3677" s="16" t="s">
        <v>296</v>
      </c>
      <c r="J3677" s="16">
        <v>16.206315100000001</v>
      </c>
      <c r="K3677" s="16">
        <v>-97.528006000000005</v>
      </c>
      <c r="L3677" s="16" t="str">
        <f>HYPERLINK("https://maps.google.com/?q=16.2063151,-97.528006", "🔗 Ver Mapa")</f>
        <v>🔗 Ver Mapa</v>
      </c>
    </row>
    <row r="3678" spans="1:12" ht="43.5" x14ac:dyDescent="0.35">
      <c r="A3678" s="6" t="s">
        <v>4</v>
      </c>
      <c r="B3678" s="6" t="s">
        <v>17</v>
      </c>
      <c r="C3678" s="6" t="s">
        <v>1564</v>
      </c>
      <c r="D3678" s="11" t="s">
        <v>64</v>
      </c>
      <c r="E3678" s="17" t="s">
        <v>74</v>
      </c>
      <c r="F3678" s="17" t="s">
        <v>453</v>
      </c>
      <c r="G3678" s="11" t="s">
        <v>1259</v>
      </c>
      <c r="H3678" s="11" t="s">
        <v>1565</v>
      </c>
      <c r="I3678" s="17" t="s">
        <v>296</v>
      </c>
      <c r="J3678" s="17">
        <v>16.206354099999999</v>
      </c>
      <c r="K3678" s="17">
        <v>-97.527726999999999</v>
      </c>
      <c r="L3678" s="17" t="str">
        <f>HYPERLINK("https://maps.google.com/?q=16.2063541,-97.527727", "🔗 Ver Mapa")</f>
        <v>🔗 Ver Mapa</v>
      </c>
    </row>
    <row r="3679" spans="1:12" ht="43.5" x14ac:dyDescent="0.35">
      <c r="A3679" s="5" t="s">
        <v>4</v>
      </c>
      <c r="B3679" s="5" t="s">
        <v>17</v>
      </c>
      <c r="C3679" s="5" t="s">
        <v>1564</v>
      </c>
      <c r="D3679" s="8" t="s">
        <v>64</v>
      </c>
      <c r="E3679" s="16" t="s">
        <v>74</v>
      </c>
      <c r="F3679" s="16" t="s">
        <v>453</v>
      </c>
      <c r="G3679" s="8" t="s">
        <v>1259</v>
      </c>
      <c r="H3679" s="8" t="s">
        <v>1565</v>
      </c>
      <c r="I3679" s="16" t="s">
        <v>296</v>
      </c>
      <c r="J3679" s="16">
        <v>16.2064041</v>
      </c>
      <c r="K3679" s="16">
        <v>-97.527882000000005</v>
      </c>
      <c r="L3679" s="16" t="str">
        <f>HYPERLINK("https://maps.google.com/?q=16.2064041,-97.527882", "🔗 Ver Mapa")</f>
        <v>🔗 Ver Mapa</v>
      </c>
    </row>
    <row r="3680" spans="1:12" ht="43.5" x14ac:dyDescent="0.35">
      <c r="A3680" s="6" t="s">
        <v>4</v>
      </c>
      <c r="B3680" s="6" t="s">
        <v>17</v>
      </c>
      <c r="C3680" s="6" t="s">
        <v>1564</v>
      </c>
      <c r="D3680" s="11" t="s">
        <v>64</v>
      </c>
      <c r="E3680" s="17" t="s">
        <v>74</v>
      </c>
      <c r="F3680" s="17" t="s">
        <v>453</v>
      </c>
      <c r="G3680" s="11" t="s">
        <v>1259</v>
      </c>
      <c r="H3680" s="11" t="s">
        <v>1565</v>
      </c>
      <c r="I3680" s="17" t="s">
        <v>296</v>
      </c>
      <c r="J3680" s="17">
        <v>16.2064211</v>
      </c>
      <c r="K3680" s="17">
        <v>-97.527956000000003</v>
      </c>
      <c r="L3680" s="17" t="str">
        <f>HYPERLINK("https://maps.google.com/?q=16.2064211,-97.527956", "🔗 Ver Mapa")</f>
        <v>🔗 Ver Mapa</v>
      </c>
    </row>
    <row r="3681" spans="1:12" ht="43.5" x14ac:dyDescent="0.35">
      <c r="A3681" s="5" t="s">
        <v>4</v>
      </c>
      <c r="B3681" s="5" t="s">
        <v>17</v>
      </c>
      <c r="C3681" s="5" t="s">
        <v>1564</v>
      </c>
      <c r="D3681" s="8" t="s">
        <v>64</v>
      </c>
      <c r="E3681" s="16" t="s">
        <v>74</v>
      </c>
      <c r="F3681" s="16" t="s">
        <v>453</v>
      </c>
      <c r="G3681" s="8" t="s">
        <v>1259</v>
      </c>
      <c r="H3681" s="8" t="s">
        <v>1565</v>
      </c>
      <c r="I3681" s="16" t="s">
        <v>296</v>
      </c>
      <c r="J3681" s="16">
        <v>16.2064281</v>
      </c>
      <c r="K3681" s="16">
        <v>-97.528802999999996</v>
      </c>
      <c r="L3681" s="16" t="str">
        <f>HYPERLINK("https://maps.google.com/?q=16.2064281,-97.528803", "🔗 Ver Mapa")</f>
        <v>🔗 Ver Mapa</v>
      </c>
    </row>
    <row r="3682" spans="1:12" ht="43.5" x14ac:dyDescent="0.35">
      <c r="A3682" s="6" t="s">
        <v>4</v>
      </c>
      <c r="B3682" s="6" t="s">
        <v>17</v>
      </c>
      <c r="C3682" s="6" t="s">
        <v>1564</v>
      </c>
      <c r="D3682" s="11" t="s">
        <v>64</v>
      </c>
      <c r="E3682" s="17" t="s">
        <v>74</v>
      </c>
      <c r="F3682" s="17" t="s">
        <v>453</v>
      </c>
      <c r="G3682" s="11" t="s">
        <v>1259</v>
      </c>
      <c r="H3682" s="11" t="s">
        <v>1565</v>
      </c>
      <c r="I3682" s="17" t="s">
        <v>296</v>
      </c>
      <c r="J3682" s="17">
        <v>16.206481100000001</v>
      </c>
      <c r="K3682" s="17">
        <v>-97.530007999999995</v>
      </c>
      <c r="L3682" s="17" t="str">
        <f>HYPERLINK("https://maps.google.com/?q=16.2064811,-97.530008", "🔗 Ver Mapa")</f>
        <v>🔗 Ver Mapa</v>
      </c>
    </row>
    <row r="3683" spans="1:12" ht="43.5" x14ac:dyDescent="0.35">
      <c r="A3683" s="5" t="s">
        <v>4</v>
      </c>
      <c r="B3683" s="5" t="s">
        <v>17</v>
      </c>
      <c r="C3683" s="5" t="s">
        <v>1564</v>
      </c>
      <c r="D3683" s="8" t="s">
        <v>64</v>
      </c>
      <c r="E3683" s="16" t="s">
        <v>74</v>
      </c>
      <c r="F3683" s="16" t="s">
        <v>453</v>
      </c>
      <c r="G3683" s="8" t="s">
        <v>1259</v>
      </c>
      <c r="H3683" s="8" t="s">
        <v>1565</v>
      </c>
      <c r="I3683" s="16" t="s">
        <v>296</v>
      </c>
      <c r="J3683" s="16">
        <v>16.206501100000001</v>
      </c>
      <c r="K3683" s="16">
        <v>-97.527890999999997</v>
      </c>
      <c r="L3683" s="16" t="str">
        <f>HYPERLINK("https://maps.google.com/?q=16.2065011,-97.527891", "🔗 Ver Mapa")</f>
        <v>🔗 Ver Mapa</v>
      </c>
    </row>
    <row r="3684" spans="1:12" ht="43.5" x14ac:dyDescent="0.35">
      <c r="A3684" s="6" t="s">
        <v>4</v>
      </c>
      <c r="B3684" s="6" t="s">
        <v>17</v>
      </c>
      <c r="C3684" s="6" t="s">
        <v>1564</v>
      </c>
      <c r="D3684" s="11" t="s">
        <v>64</v>
      </c>
      <c r="E3684" s="17" t="s">
        <v>74</v>
      </c>
      <c r="F3684" s="17" t="s">
        <v>453</v>
      </c>
      <c r="G3684" s="11" t="s">
        <v>1259</v>
      </c>
      <c r="H3684" s="11" t="s">
        <v>1565</v>
      </c>
      <c r="I3684" s="17" t="s">
        <v>296</v>
      </c>
      <c r="J3684" s="17">
        <v>16.206641099999999</v>
      </c>
      <c r="K3684" s="17">
        <v>-97.5288331</v>
      </c>
      <c r="L3684" s="17" t="str">
        <f>HYPERLINK("https://maps.google.com/?q=16.2066411,-97.5288331", "🔗 Ver Mapa")</f>
        <v>🔗 Ver Mapa</v>
      </c>
    </row>
    <row r="3685" spans="1:12" ht="43.5" x14ac:dyDescent="0.35">
      <c r="A3685" s="5" t="s">
        <v>4</v>
      </c>
      <c r="B3685" s="5" t="s">
        <v>17</v>
      </c>
      <c r="C3685" s="5" t="s">
        <v>1564</v>
      </c>
      <c r="D3685" s="8" t="s">
        <v>64</v>
      </c>
      <c r="E3685" s="16" t="s">
        <v>74</v>
      </c>
      <c r="F3685" s="16" t="s">
        <v>453</v>
      </c>
      <c r="G3685" s="8" t="s">
        <v>1259</v>
      </c>
      <c r="H3685" s="8" t="s">
        <v>1565</v>
      </c>
      <c r="I3685" s="16" t="s">
        <v>296</v>
      </c>
      <c r="J3685" s="16">
        <v>16.206686099999999</v>
      </c>
      <c r="K3685" s="16">
        <v>-97.527876000000006</v>
      </c>
      <c r="L3685" s="16" t="str">
        <f>HYPERLINK("https://maps.google.com/?q=16.2066861,-97.527876", "🔗 Ver Mapa")</f>
        <v>🔗 Ver Mapa</v>
      </c>
    </row>
    <row r="3686" spans="1:12" ht="43.5" x14ac:dyDescent="0.35">
      <c r="A3686" s="6" t="s">
        <v>4</v>
      </c>
      <c r="B3686" s="6" t="s">
        <v>17</v>
      </c>
      <c r="C3686" s="6" t="s">
        <v>1564</v>
      </c>
      <c r="D3686" s="11" t="s">
        <v>64</v>
      </c>
      <c r="E3686" s="17" t="s">
        <v>74</v>
      </c>
      <c r="F3686" s="17" t="s">
        <v>453</v>
      </c>
      <c r="G3686" s="11" t="s">
        <v>1259</v>
      </c>
      <c r="H3686" s="11" t="s">
        <v>1565</v>
      </c>
      <c r="I3686" s="17" t="s">
        <v>296</v>
      </c>
      <c r="J3686" s="17">
        <v>16.206755999999999</v>
      </c>
      <c r="K3686" s="17">
        <v>-97.530053499999994</v>
      </c>
      <c r="L3686" s="17" t="str">
        <f>HYPERLINK("https://maps.google.com/?q=16.206756,-97.5300535", "🔗 Ver Mapa")</f>
        <v>🔗 Ver Mapa</v>
      </c>
    </row>
    <row r="3687" spans="1:12" ht="43.5" x14ac:dyDescent="0.35">
      <c r="A3687" s="5" t="s">
        <v>4</v>
      </c>
      <c r="B3687" s="5" t="s">
        <v>17</v>
      </c>
      <c r="C3687" s="5" t="s">
        <v>1564</v>
      </c>
      <c r="D3687" s="8" t="s">
        <v>64</v>
      </c>
      <c r="E3687" s="16" t="s">
        <v>74</v>
      </c>
      <c r="F3687" s="16" t="s">
        <v>453</v>
      </c>
      <c r="G3687" s="8" t="s">
        <v>1259</v>
      </c>
      <c r="H3687" s="8" t="s">
        <v>1565</v>
      </c>
      <c r="I3687" s="16" t="s">
        <v>296</v>
      </c>
      <c r="J3687" s="16">
        <v>16.206834099999998</v>
      </c>
      <c r="K3687" s="16">
        <v>-97.528915999999995</v>
      </c>
      <c r="L3687" s="16" t="str">
        <f>HYPERLINK("https://maps.google.com/?q=16.2068341,-97.528916", "🔗 Ver Mapa")</f>
        <v>🔗 Ver Mapa</v>
      </c>
    </row>
    <row r="3688" spans="1:12" ht="43.5" x14ac:dyDescent="0.35">
      <c r="A3688" s="6" t="s">
        <v>4</v>
      </c>
      <c r="B3688" s="6" t="s">
        <v>17</v>
      </c>
      <c r="C3688" s="6" t="s">
        <v>1564</v>
      </c>
      <c r="D3688" s="11" t="s">
        <v>64</v>
      </c>
      <c r="E3688" s="17" t="s">
        <v>74</v>
      </c>
      <c r="F3688" s="17" t="s">
        <v>453</v>
      </c>
      <c r="G3688" s="11" t="s">
        <v>1259</v>
      </c>
      <c r="H3688" s="11" t="s">
        <v>1565</v>
      </c>
      <c r="I3688" s="17" t="s">
        <v>296</v>
      </c>
      <c r="J3688" s="17">
        <v>16.2068461</v>
      </c>
      <c r="K3688" s="17">
        <v>-97.530613000000002</v>
      </c>
      <c r="L3688" s="17" t="str">
        <f>HYPERLINK("https://maps.google.com/?q=16.2068461,-97.530613", "🔗 Ver Mapa")</f>
        <v>🔗 Ver Mapa</v>
      </c>
    </row>
    <row r="3689" spans="1:12" ht="43.5" x14ac:dyDescent="0.35">
      <c r="A3689" s="5" t="s">
        <v>4</v>
      </c>
      <c r="B3689" s="5" t="s">
        <v>17</v>
      </c>
      <c r="C3689" s="5" t="s">
        <v>1564</v>
      </c>
      <c r="D3689" s="8" t="s">
        <v>64</v>
      </c>
      <c r="E3689" s="16" t="s">
        <v>74</v>
      </c>
      <c r="F3689" s="16" t="s">
        <v>453</v>
      </c>
      <c r="G3689" s="8" t="s">
        <v>1259</v>
      </c>
      <c r="H3689" s="8" t="s">
        <v>1565</v>
      </c>
      <c r="I3689" s="16" t="s">
        <v>296</v>
      </c>
      <c r="J3689" s="16">
        <v>16.206868100000001</v>
      </c>
      <c r="K3689" s="16">
        <v>-97.531854999999993</v>
      </c>
      <c r="L3689" s="16" t="str">
        <f>HYPERLINK("https://maps.google.com/?q=16.2068681,-97.531855", "🔗 Ver Mapa")</f>
        <v>🔗 Ver Mapa</v>
      </c>
    </row>
    <row r="3690" spans="1:12" ht="43.5" x14ac:dyDescent="0.35">
      <c r="A3690" s="6" t="s">
        <v>4</v>
      </c>
      <c r="B3690" s="6" t="s">
        <v>17</v>
      </c>
      <c r="C3690" s="6" t="s">
        <v>1564</v>
      </c>
      <c r="D3690" s="11" t="s">
        <v>64</v>
      </c>
      <c r="E3690" s="17" t="s">
        <v>74</v>
      </c>
      <c r="F3690" s="17" t="s">
        <v>453</v>
      </c>
      <c r="G3690" s="11" t="s">
        <v>1259</v>
      </c>
      <c r="H3690" s="11" t="s">
        <v>1565</v>
      </c>
      <c r="I3690" s="17" t="s">
        <v>296</v>
      </c>
      <c r="J3690" s="17">
        <v>16.206886099999998</v>
      </c>
      <c r="K3690" s="17">
        <v>-97.531976999999998</v>
      </c>
      <c r="L3690" s="17" t="str">
        <f>HYPERLINK("https://maps.google.com/?q=16.2068861,-97.531977", "🔗 Ver Mapa")</f>
        <v>🔗 Ver Mapa</v>
      </c>
    </row>
    <row r="3691" spans="1:12" ht="43.5" x14ac:dyDescent="0.35">
      <c r="A3691" s="5" t="s">
        <v>4</v>
      </c>
      <c r="B3691" s="5" t="s">
        <v>17</v>
      </c>
      <c r="C3691" s="5" t="s">
        <v>1564</v>
      </c>
      <c r="D3691" s="8" t="s">
        <v>64</v>
      </c>
      <c r="E3691" s="16" t="s">
        <v>74</v>
      </c>
      <c r="F3691" s="16" t="s">
        <v>453</v>
      </c>
      <c r="G3691" s="8" t="s">
        <v>1259</v>
      </c>
      <c r="H3691" s="8" t="s">
        <v>1565</v>
      </c>
      <c r="I3691" s="16" t="s">
        <v>296</v>
      </c>
      <c r="J3691" s="16">
        <v>16.206928099999999</v>
      </c>
      <c r="K3691" s="16">
        <v>-97.531636000000006</v>
      </c>
      <c r="L3691" s="16" t="str">
        <f>HYPERLINK("https://maps.google.com/?q=16.2069281,-97.531636", "🔗 Ver Mapa")</f>
        <v>🔗 Ver Mapa</v>
      </c>
    </row>
    <row r="3692" spans="1:12" ht="43.5" x14ac:dyDescent="0.35">
      <c r="A3692" s="6" t="s">
        <v>4</v>
      </c>
      <c r="B3692" s="6" t="s">
        <v>17</v>
      </c>
      <c r="C3692" s="6" t="s">
        <v>1564</v>
      </c>
      <c r="D3692" s="11" t="s">
        <v>64</v>
      </c>
      <c r="E3692" s="17" t="s">
        <v>74</v>
      </c>
      <c r="F3692" s="17" t="s">
        <v>453</v>
      </c>
      <c r="G3692" s="11" t="s">
        <v>1259</v>
      </c>
      <c r="H3692" s="11" t="s">
        <v>1565</v>
      </c>
      <c r="I3692" s="17" t="s">
        <v>296</v>
      </c>
      <c r="J3692" s="17">
        <v>16.2069431</v>
      </c>
      <c r="K3692" s="17">
        <v>-97.527888000000004</v>
      </c>
      <c r="L3692" s="17" t="str">
        <f>HYPERLINK("https://maps.google.com/?q=16.2069431,-97.527888", "🔗 Ver Mapa")</f>
        <v>🔗 Ver Mapa</v>
      </c>
    </row>
    <row r="3693" spans="1:12" ht="43.5" x14ac:dyDescent="0.35">
      <c r="A3693" s="5" t="s">
        <v>4</v>
      </c>
      <c r="B3693" s="5" t="s">
        <v>17</v>
      </c>
      <c r="C3693" s="5" t="s">
        <v>1564</v>
      </c>
      <c r="D3693" s="8" t="s">
        <v>64</v>
      </c>
      <c r="E3693" s="16" t="s">
        <v>74</v>
      </c>
      <c r="F3693" s="16" t="s">
        <v>453</v>
      </c>
      <c r="G3693" s="8" t="s">
        <v>1259</v>
      </c>
      <c r="H3693" s="8" t="s">
        <v>1565</v>
      </c>
      <c r="I3693" s="16" t="s">
        <v>296</v>
      </c>
      <c r="J3693" s="16">
        <v>16.206965100000001</v>
      </c>
      <c r="K3693" s="16">
        <v>-97.532047000000006</v>
      </c>
      <c r="L3693" s="16" t="str">
        <f>HYPERLINK("https://maps.google.com/?q=16.2069651,-97.532047", "🔗 Ver Mapa")</f>
        <v>🔗 Ver Mapa</v>
      </c>
    </row>
    <row r="3694" spans="1:12" ht="43.5" x14ac:dyDescent="0.35">
      <c r="A3694" s="6" t="s">
        <v>4</v>
      </c>
      <c r="B3694" s="6" t="s">
        <v>17</v>
      </c>
      <c r="C3694" s="6" t="s">
        <v>1564</v>
      </c>
      <c r="D3694" s="11" t="s">
        <v>64</v>
      </c>
      <c r="E3694" s="17" t="s">
        <v>74</v>
      </c>
      <c r="F3694" s="17" t="s">
        <v>453</v>
      </c>
      <c r="G3694" s="11" t="s">
        <v>1259</v>
      </c>
      <c r="H3694" s="11" t="s">
        <v>1565</v>
      </c>
      <c r="I3694" s="17" t="s">
        <v>296</v>
      </c>
      <c r="J3694" s="17">
        <v>16.2069771</v>
      </c>
      <c r="K3694" s="17">
        <v>-97.530090000000001</v>
      </c>
      <c r="L3694" s="17" t="str">
        <f>HYPERLINK("https://maps.google.com/?q=16.2069771,-97.53009", "🔗 Ver Mapa")</f>
        <v>🔗 Ver Mapa</v>
      </c>
    </row>
    <row r="3695" spans="1:12" ht="43.5" x14ac:dyDescent="0.35">
      <c r="A3695" s="5" t="s">
        <v>4</v>
      </c>
      <c r="B3695" s="5" t="s">
        <v>17</v>
      </c>
      <c r="C3695" s="5" t="s">
        <v>1564</v>
      </c>
      <c r="D3695" s="8" t="s">
        <v>64</v>
      </c>
      <c r="E3695" s="16" t="s">
        <v>74</v>
      </c>
      <c r="F3695" s="16" t="s">
        <v>453</v>
      </c>
      <c r="G3695" s="8" t="s">
        <v>1259</v>
      </c>
      <c r="H3695" s="8" t="s">
        <v>1565</v>
      </c>
      <c r="I3695" s="16" t="s">
        <v>296</v>
      </c>
      <c r="J3695" s="16">
        <v>16.206992100000001</v>
      </c>
      <c r="K3695" s="16">
        <v>-97.532838999999996</v>
      </c>
      <c r="L3695" s="16" t="str">
        <f>HYPERLINK("https://maps.google.com/?q=16.2069921,-97.532839", "🔗 Ver Mapa")</f>
        <v>🔗 Ver Mapa</v>
      </c>
    </row>
    <row r="3696" spans="1:12" ht="43.5" x14ac:dyDescent="0.35">
      <c r="A3696" s="6" t="s">
        <v>4</v>
      </c>
      <c r="B3696" s="6" t="s">
        <v>17</v>
      </c>
      <c r="C3696" s="6" t="s">
        <v>1564</v>
      </c>
      <c r="D3696" s="11" t="s">
        <v>64</v>
      </c>
      <c r="E3696" s="17" t="s">
        <v>74</v>
      </c>
      <c r="F3696" s="17" t="s">
        <v>453</v>
      </c>
      <c r="G3696" s="11" t="s">
        <v>1259</v>
      </c>
      <c r="H3696" s="11" t="s">
        <v>1565</v>
      </c>
      <c r="I3696" s="17" t="s">
        <v>296</v>
      </c>
      <c r="J3696" s="17">
        <v>16.2069951</v>
      </c>
      <c r="K3696" s="17">
        <v>-97.532705000000007</v>
      </c>
      <c r="L3696" s="17" t="str">
        <f>HYPERLINK("https://maps.google.com/?q=16.2069951,-97.532705", "🔗 Ver Mapa")</f>
        <v>🔗 Ver Mapa</v>
      </c>
    </row>
    <row r="3697" spans="1:12" ht="43.5" x14ac:dyDescent="0.35">
      <c r="A3697" s="5" t="s">
        <v>4</v>
      </c>
      <c r="B3697" s="5" t="s">
        <v>17</v>
      </c>
      <c r="C3697" s="5" t="s">
        <v>1564</v>
      </c>
      <c r="D3697" s="8" t="s">
        <v>64</v>
      </c>
      <c r="E3697" s="16" t="s">
        <v>74</v>
      </c>
      <c r="F3697" s="16" t="s">
        <v>453</v>
      </c>
      <c r="G3697" s="8" t="s">
        <v>1259</v>
      </c>
      <c r="H3697" s="8" t="s">
        <v>1565</v>
      </c>
      <c r="I3697" s="16" t="s">
        <v>296</v>
      </c>
      <c r="J3697" s="16">
        <v>16.207032699999999</v>
      </c>
      <c r="K3697" s="16">
        <v>-97.531419900000003</v>
      </c>
      <c r="L3697" s="16" t="str">
        <f>HYPERLINK("https://maps.google.com/?q=16.2070327,-97.5314199", "🔗 Ver Mapa")</f>
        <v>🔗 Ver Mapa</v>
      </c>
    </row>
    <row r="3698" spans="1:12" ht="43.5" x14ac:dyDescent="0.35">
      <c r="A3698" s="6" t="s">
        <v>4</v>
      </c>
      <c r="B3698" s="6" t="s">
        <v>17</v>
      </c>
      <c r="C3698" s="6" t="s">
        <v>1564</v>
      </c>
      <c r="D3698" s="11" t="s">
        <v>64</v>
      </c>
      <c r="E3698" s="17" t="s">
        <v>74</v>
      </c>
      <c r="F3698" s="17" t="s">
        <v>453</v>
      </c>
      <c r="G3698" s="11" t="s">
        <v>1259</v>
      </c>
      <c r="H3698" s="11" t="s">
        <v>1565</v>
      </c>
      <c r="I3698" s="17" t="s">
        <v>296</v>
      </c>
      <c r="J3698" s="17">
        <v>16.2070501</v>
      </c>
      <c r="K3698" s="17">
        <v>-97.528323099999994</v>
      </c>
      <c r="L3698" s="17" t="str">
        <f>HYPERLINK("https://maps.google.com/?q=16.2070501,-97.5283231", "🔗 Ver Mapa")</f>
        <v>🔗 Ver Mapa</v>
      </c>
    </row>
    <row r="3699" spans="1:12" ht="43.5" x14ac:dyDescent="0.35">
      <c r="A3699" s="5" t="s">
        <v>4</v>
      </c>
      <c r="B3699" s="5" t="s">
        <v>17</v>
      </c>
      <c r="C3699" s="5" t="s">
        <v>1564</v>
      </c>
      <c r="D3699" s="8" t="s">
        <v>64</v>
      </c>
      <c r="E3699" s="16" t="s">
        <v>74</v>
      </c>
      <c r="F3699" s="16" t="s">
        <v>453</v>
      </c>
      <c r="G3699" s="8" t="s">
        <v>1259</v>
      </c>
      <c r="H3699" s="8" t="s">
        <v>1565</v>
      </c>
      <c r="I3699" s="16" t="s">
        <v>296</v>
      </c>
      <c r="J3699" s="16">
        <v>16.207051100000001</v>
      </c>
      <c r="K3699" s="16">
        <v>-97.533050000000003</v>
      </c>
      <c r="L3699" s="16" t="str">
        <f>HYPERLINK("https://maps.google.com/?q=16.2070511,-97.53305", "🔗 Ver Mapa")</f>
        <v>🔗 Ver Mapa</v>
      </c>
    </row>
    <row r="3700" spans="1:12" ht="43.5" x14ac:dyDescent="0.35">
      <c r="A3700" s="6" t="s">
        <v>4</v>
      </c>
      <c r="B3700" s="6" t="s">
        <v>17</v>
      </c>
      <c r="C3700" s="6" t="s">
        <v>1564</v>
      </c>
      <c r="D3700" s="11" t="s">
        <v>64</v>
      </c>
      <c r="E3700" s="17" t="s">
        <v>74</v>
      </c>
      <c r="F3700" s="17" t="s">
        <v>453</v>
      </c>
      <c r="G3700" s="11" t="s">
        <v>1259</v>
      </c>
      <c r="H3700" s="11" t="s">
        <v>1565</v>
      </c>
      <c r="I3700" s="17" t="s">
        <v>296</v>
      </c>
      <c r="J3700" s="17">
        <v>16.207052099999999</v>
      </c>
      <c r="K3700" s="17">
        <v>-97.530508999999995</v>
      </c>
      <c r="L3700" s="17" t="str">
        <f>HYPERLINK("https://maps.google.com/?q=16.2070521,-97.530509", "🔗 Ver Mapa")</f>
        <v>🔗 Ver Mapa</v>
      </c>
    </row>
    <row r="3701" spans="1:12" ht="43.5" x14ac:dyDescent="0.35">
      <c r="A3701" s="5" t="s">
        <v>4</v>
      </c>
      <c r="B3701" s="5" t="s">
        <v>17</v>
      </c>
      <c r="C3701" s="5" t="s">
        <v>1564</v>
      </c>
      <c r="D3701" s="8" t="s">
        <v>64</v>
      </c>
      <c r="E3701" s="16" t="s">
        <v>74</v>
      </c>
      <c r="F3701" s="16" t="s">
        <v>453</v>
      </c>
      <c r="G3701" s="8" t="s">
        <v>1259</v>
      </c>
      <c r="H3701" s="8" t="s">
        <v>1565</v>
      </c>
      <c r="I3701" s="16" t="s">
        <v>296</v>
      </c>
      <c r="J3701" s="16">
        <v>16.2070571</v>
      </c>
      <c r="K3701" s="16">
        <v>-97.528048999999996</v>
      </c>
      <c r="L3701" s="16" t="str">
        <f>HYPERLINK("https://maps.google.com/?q=16.2070571,-97.528049", "🔗 Ver Mapa")</f>
        <v>🔗 Ver Mapa</v>
      </c>
    </row>
    <row r="3702" spans="1:12" ht="43.5" x14ac:dyDescent="0.35">
      <c r="A3702" s="6" t="s">
        <v>4</v>
      </c>
      <c r="B3702" s="6" t="s">
        <v>17</v>
      </c>
      <c r="C3702" s="6" t="s">
        <v>1564</v>
      </c>
      <c r="D3702" s="11" t="s">
        <v>64</v>
      </c>
      <c r="E3702" s="17" t="s">
        <v>74</v>
      </c>
      <c r="F3702" s="17" t="s">
        <v>453</v>
      </c>
      <c r="G3702" s="11" t="s">
        <v>1259</v>
      </c>
      <c r="H3702" s="11" t="s">
        <v>1565</v>
      </c>
      <c r="I3702" s="17" t="s">
        <v>296</v>
      </c>
      <c r="J3702" s="17">
        <v>16.207058100000001</v>
      </c>
      <c r="K3702" s="17">
        <v>-97.532318000000004</v>
      </c>
      <c r="L3702" s="17" t="str">
        <f>HYPERLINK("https://maps.google.com/?q=16.2070581,-97.532318", "🔗 Ver Mapa")</f>
        <v>🔗 Ver Mapa</v>
      </c>
    </row>
    <row r="3703" spans="1:12" ht="43.5" x14ac:dyDescent="0.35">
      <c r="A3703" s="5" t="s">
        <v>4</v>
      </c>
      <c r="B3703" s="5" t="s">
        <v>17</v>
      </c>
      <c r="C3703" s="5" t="s">
        <v>1564</v>
      </c>
      <c r="D3703" s="8" t="s">
        <v>64</v>
      </c>
      <c r="E3703" s="16" t="s">
        <v>74</v>
      </c>
      <c r="F3703" s="16" t="s">
        <v>453</v>
      </c>
      <c r="G3703" s="8" t="s">
        <v>1259</v>
      </c>
      <c r="H3703" s="8" t="s">
        <v>1565</v>
      </c>
      <c r="I3703" s="16" t="s">
        <v>296</v>
      </c>
      <c r="J3703" s="16">
        <v>16.2070601</v>
      </c>
      <c r="K3703" s="16">
        <v>-97.529015099999995</v>
      </c>
      <c r="L3703" s="16" t="str">
        <f>HYPERLINK("https://maps.google.com/?q=16.2070601,-97.5290151", "🔗 Ver Mapa")</f>
        <v>🔗 Ver Mapa</v>
      </c>
    </row>
    <row r="3704" spans="1:12" ht="43.5" x14ac:dyDescent="0.35">
      <c r="A3704" s="6" t="s">
        <v>4</v>
      </c>
      <c r="B3704" s="6" t="s">
        <v>17</v>
      </c>
      <c r="C3704" s="6" t="s">
        <v>1564</v>
      </c>
      <c r="D3704" s="11" t="s">
        <v>64</v>
      </c>
      <c r="E3704" s="17" t="s">
        <v>74</v>
      </c>
      <c r="F3704" s="17" t="s">
        <v>453</v>
      </c>
      <c r="G3704" s="11" t="s">
        <v>1259</v>
      </c>
      <c r="H3704" s="11" t="s">
        <v>1565</v>
      </c>
      <c r="I3704" s="17" t="s">
        <v>296</v>
      </c>
      <c r="J3704" s="17">
        <v>16.207065100000001</v>
      </c>
      <c r="K3704" s="17">
        <v>-97.527940999999998</v>
      </c>
      <c r="L3704" s="17" t="str">
        <f>HYPERLINK("https://maps.google.com/?q=16.2070651,-97.527941", "🔗 Ver Mapa")</f>
        <v>🔗 Ver Mapa</v>
      </c>
    </row>
    <row r="3705" spans="1:12" ht="43.5" x14ac:dyDescent="0.35">
      <c r="A3705" s="5" t="s">
        <v>4</v>
      </c>
      <c r="B3705" s="5" t="s">
        <v>17</v>
      </c>
      <c r="C3705" s="5" t="s">
        <v>1564</v>
      </c>
      <c r="D3705" s="8" t="s">
        <v>64</v>
      </c>
      <c r="E3705" s="16" t="s">
        <v>74</v>
      </c>
      <c r="F3705" s="16" t="s">
        <v>453</v>
      </c>
      <c r="G3705" s="8" t="s">
        <v>1259</v>
      </c>
      <c r="H3705" s="8" t="s">
        <v>1565</v>
      </c>
      <c r="I3705" s="16" t="s">
        <v>296</v>
      </c>
      <c r="J3705" s="16">
        <v>16.207068100000001</v>
      </c>
      <c r="K3705" s="16">
        <v>-97.527717999999993</v>
      </c>
      <c r="L3705" s="16" t="str">
        <f>HYPERLINK("https://maps.google.com/?q=16.2070681,-97.527718", "🔗 Ver Mapa")</f>
        <v>🔗 Ver Mapa</v>
      </c>
    </row>
    <row r="3706" spans="1:12" ht="43.5" x14ac:dyDescent="0.35">
      <c r="A3706" s="6" t="s">
        <v>4</v>
      </c>
      <c r="B3706" s="6" t="s">
        <v>17</v>
      </c>
      <c r="C3706" s="6" t="s">
        <v>1564</v>
      </c>
      <c r="D3706" s="11" t="s">
        <v>64</v>
      </c>
      <c r="E3706" s="17" t="s">
        <v>74</v>
      </c>
      <c r="F3706" s="17" t="s">
        <v>453</v>
      </c>
      <c r="G3706" s="11" t="s">
        <v>1259</v>
      </c>
      <c r="H3706" s="11" t="s">
        <v>1565</v>
      </c>
      <c r="I3706" s="17" t="s">
        <v>296</v>
      </c>
      <c r="J3706" s="17">
        <v>16.2071021</v>
      </c>
      <c r="K3706" s="17">
        <v>-97.530124000000001</v>
      </c>
      <c r="L3706" s="17" t="str">
        <f>HYPERLINK("https://maps.google.com/?q=16.2071021,-97.530124", "🔗 Ver Mapa")</f>
        <v>🔗 Ver Mapa</v>
      </c>
    </row>
    <row r="3707" spans="1:12" ht="43.5" x14ac:dyDescent="0.35">
      <c r="A3707" s="5" t="s">
        <v>4</v>
      </c>
      <c r="B3707" s="5" t="s">
        <v>17</v>
      </c>
      <c r="C3707" s="5" t="s">
        <v>1564</v>
      </c>
      <c r="D3707" s="8" t="s">
        <v>64</v>
      </c>
      <c r="E3707" s="16" t="s">
        <v>74</v>
      </c>
      <c r="F3707" s="16" t="s">
        <v>453</v>
      </c>
      <c r="G3707" s="8" t="s">
        <v>1259</v>
      </c>
      <c r="H3707" s="8" t="s">
        <v>1565</v>
      </c>
      <c r="I3707" s="16" t="s">
        <v>296</v>
      </c>
      <c r="J3707" s="16">
        <v>16.207145100000002</v>
      </c>
      <c r="K3707" s="16">
        <v>-97.531188</v>
      </c>
      <c r="L3707" s="16" t="str">
        <f>HYPERLINK("https://maps.google.com/?q=16.2071451,-97.531188", "🔗 Ver Mapa")</f>
        <v>🔗 Ver Mapa</v>
      </c>
    </row>
    <row r="3708" spans="1:12" ht="43.5" x14ac:dyDescent="0.35">
      <c r="A3708" s="6" t="s">
        <v>4</v>
      </c>
      <c r="B3708" s="6" t="s">
        <v>17</v>
      </c>
      <c r="C3708" s="6" t="s">
        <v>1564</v>
      </c>
      <c r="D3708" s="11" t="s">
        <v>64</v>
      </c>
      <c r="E3708" s="17" t="s">
        <v>74</v>
      </c>
      <c r="F3708" s="17" t="s">
        <v>453</v>
      </c>
      <c r="G3708" s="11" t="s">
        <v>1259</v>
      </c>
      <c r="H3708" s="11" t="s">
        <v>1565</v>
      </c>
      <c r="I3708" s="17" t="s">
        <v>296</v>
      </c>
      <c r="J3708" s="17">
        <v>16.207148</v>
      </c>
      <c r="K3708" s="17">
        <v>-97.533134000000004</v>
      </c>
      <c r="L3708" s="17" t="str">
        <f>HYPERLINK("https://maps.google.com/?q=16.207148,-97.533134", "🔗 Ver Mapa")</f>
        <v>🔗 Ver Mapa</v>
      </c>
    </row>
    <row r="3709" spans="1:12" ht="43.5" x14ac:dyDescent="0.35">
      <c r="A3709" s="5" t="s">
        <v>4</v>
      </c>
      <c r="B3709" s="5" t="s">
        <v>17</v>
      </c>
      <c r="C3709" s="5" t="s">
        <v>1564</v>
      </c>
      <c r="D3709" s="8" t="s">
        <v>64</v>
      </c>
      <c r="E3709" s="16" t="s">
        <v>74</v>
      </c>
      <c r="F3709" s="16" t="s">
        <v>453</v>
      </c>
      <c r="G3709" s="8" t="s">
        <v>1259</v>
      </c>
      <c r="H3709" s="8" t="s">
        <v>1565</v>
      </c>
      <c r="I3709" s="16" t="s">
        <v>296</v>
      </c>
      <c r="J3709" s="16">
        <v>16.207194099999999</v>
      </c>
      <c r="K3709" s="16">
        <v>-97.530467999999999</v>
      </c>
      <c r="L3709" s="16" t="str">
        <f>HYPERLINK("https://maps.google.com/?q=16.2071941,-97.530468", "🔗 Ver Mapa")</f>
        <v>🔗 Ver Mapa</v>
      </c>
    </row>
    <row r="3710" spans="1:12" ht="43.5" x14ac:dyDescent="0.35">
      <c r="A3710" s="6" t="s">
        <v>4</v>
      </c>
      <c r="B3710" s="6" t="s">
        <v>17</v>
      </c>
      <c r="C3710" s="6" t="s">
        <v>1564</v>
      </c>
      <c r="D3710" s="11" t="s">
        <v>64</v>
      </c>
      <c r="E3710" s="17" t="s">
        <v>74</v>
      </c>
      <c r="F3710" s="17" t="s">
        <v>453</v>
      </c>
      <c r="G3710" s="11" t="s">
        <v>1259</v>
      </c>
      <c r="H3710" s="11" t="s">
        <v>1565</v>
      </c>
      <c r="I3710" s="17" t="s">
        <v>296</v>
      </c>
      <c r="J3710" s="17">
        <v>16.207196100000001</v>
      </c>
      <c r="K3710" s="17">
        <v>-97.530249999999995</v>
      </c>
      <c r="L3710" s="17" t="str">
        <f>HYPERLINK("https://maps.google.com/?q=16.2071961,-97.53025", "🔗 Ver Mapa")</f>
        <v>🔗 Ver Mapa</v>
      </c>
    </row>
    <row r="3711" spans="1:12" ht="43.5" x14ac:dyDescent="0.35">
      <c r="A3711" s="5" t="s">
        <v>4</v>
      </c>
      <c r="B3711" s="5" t="s">
        <v>17</v>
      </c>
      <c r="C3711" s="5" t="s">
        <v>1564</v>
      </c>
      <c r="D3711" s="8" t="s">
        <v>64</v>
      </c>
      <c r="E3711" s="16" t="s">
        <v>74</v>
      </c>
      <c r="F3711" s="16" t="s">
        <v>453</v>
      </c>
      <c r="G3711" s="8" t="s">
        <v>1259</v>
      </c>
      <c r="H3711" s="8" t="s">
        <v>1565</v>
      </c>
      <c r="I3711" s="16" t="s">
        <v>296</v>
      </c>
      <c r="J3711" s="16">
        <v>16.2072121</v>
      </c>
      <c r="K3711" s="16">
        <v>-97.527987999999993</v>
      </c>
      <c r="L3711" s="16" t="str">
        <f>HYPERLINK("https://maps.google.com/?q=16.2072121,-97.527988", "🔗 Ver Mapa")</f>
        <v>🔗 Ver Mapa</v>
      </c>
    </row>
    <row r="3712" spans="1:12" ht="43.5" x14ac:dyDescent="0.35">
      <c r="A3712" s="6" t="s">
        <v>4</v>
      </c>
      <c r="B3712" s="6" t="s">
        <v>17</v>
      </c>
      <c r="C3712" s="6" t="s">
        <v>1564</v>
      </c>
      <c r="D3712" s="11" t="s">
        <v>64</v>
      </c>
      <c r="E3712" s="17" t="s">
        <v>74</v>
      </c>
      <c r="F3712" s="17" t="s">
        <v>453</v>
      </c>
      <c r="G3712" s="11" t="s">
        <v>1259</v>
      </c>
      <c r="H3712" s="11" t="s">
        <v>1565</v>
      </c>
      <c r="I3712" s="17" t="s">
        <v>296</v>
      </c>
      <c r="J3712" s="17">
        <v>16.2072191</v>
      </c>
      <c r="K3712" s="17">
        <v>-97.530214000000001</v>
      </c>
      <c r="L3712" s="17" t="str">
        <f>HYPERLINK("https://maps.google.com/?q=16.2072191,-97.530214", "🔗 Ver Mapa")</f>
        <v>🔗 Ver Mapa</v>
      </c>
    </row>
    <row r="3713" spans="1:12" ht="43.5" x14ac:dyDescent="0.35">
      <c r="A3713" s="5" t="s">
        <v>4</v>
      </c>
      <c r="B3713" s="5" t="s">
        <v>17</v>
      </c>
      <c r="C3713" s="5" t="s">
        <v>1564</v>
      </c>
      <c r="D3713" s="8" t="s">
        <v>64</v>
      </c>
      <c r="E3713" s="16" t="s">
        <v>74</v>
      </c>
      <c r="F3713" s="16" t="s">
        <v>453</v>
      </c>
      <c r="G3713" s="8" t="s">
        <v>1259</v>
      </c>
      <c r="H3713" s="8" t="s">
        <v>1565</v>
      </c>
      <c r="I3713" s="16" t="s">
        <v>296</v>
      </c>
      <c r="J3713" s="16">
        <v>16.207235099999998</v>
      </c>
      <c r="K3713" s="16">
        <v>-97.531995300000005</v>
      </c>
      <c r="L3713" s="16" t="str">
        <f>HYPERLINK("https://maps.google.com/?q=16.2072351,-97.5319953", "🔗 Ver Mapa")</f>
        <v>🔗 Ver Mapa</v>
      </c>
    </row>
    <row r="3714" spans="1:12" ht="43.5" x14ac:dyDescent="0.35">
      <c r="A3714" s="6" t="s">
        <v>4</v>
      </c>
      <c r="B3714" s="6" t="s">
        <v>17</v>
      </c>
      <c r="C3714" s="6" t="s">
        <v>1564</v>
      </c>
      <c r="D3714" s="11" t="s">
        <v>64</v>
      </c>
      <c r="E3714" s="17" t="s">
        <v>74</v>
      </c>
      <c r="F3714" s="17" t="s">
        <v>453</v>
      </c>
      <c r="G3714" s="11" t="s">
        <v>1259</v>
      </c>
      <c r="H3714" s="11" t="s">
        <v>1565</v>
      </c>
      <c r="I3714" s="17" t="s">
        <v>296</v>
      </c>
      <c r="J3714" s="17">
        <v>16.2072371</v>
      </c>
      <c r="K3714" s="17">
        <v>-97.530220700000001</v>
      </c>
      <c r="L3714" s="17" t="str">
        <f>HYPERLINK("https://maps.google.com/?q=16.2072371,-97.5302207", "🔗 Ver Mapa")</f>
        <v>🔗 Ver Mapa</v>
      </c>
    </row>
    <row r="3715" spans="1:12" ht="43.5" x14ac:dyDescent="0.35">
      <c r="A3715" s="5" t="s">
        <v>4</v>
      </c>
      <c r="B3715" s="5" t="s">
        <v>17</v>
      </c>
      <c r="C3715" s="5" t="s">
        <v>1564</v>
      </c>
      <c r="D3715" s="8" t="s">
        <v>64</v>
      </c>
      <c r="E3715" s="16" t="s">
        <v>74</v>
      </c>
      <c r="F3715" s="16" t="s">
        <v>453</v>
      </c>
      <c r="G3715" s="8" t="s">
        <v>1259</v>
      </c>
      <c r="H3715" s="8" t="s">
        <v>1565</v>
      </c>
      <c r="I3715" s="16" t="s">
        <v>296</v>
      </c>
      <c r="J3715" s="16">
        <v>16.207269100000001</v>
      </c>
      <c r="K3715" s="16">
        <v>-97.532786000000002</v>
      </c>
      <c r="L3715" s="16" t="str">
        <f>HYPERLINK("https://maps.google.com/?q=16.2072691,-97.532786", "🔗 Ver Mapa")</f>
        <v>🔗 Ver Mapa</v>
      </c>
    </row>
    <row r="3716" spans="1:12" ht="43.5" x14ac:dyDescent="0.35">
      <c r="A3716" s="6" t="s">
        <v>4</v>
      </c>
      <c r="B3716" s="6" t="s">
        <v>17</v>
      </c>
      <c r="C3716" s="6" t="s">
        <v>1564</v>
      </c>
      <c r="D3716" s="11" t="s">
        <v>64</v>
      </c>
      <c r="E3716" s="17" t="s">
        <v>74</v>
      </c>
      <c r="F3716" s="17" t="s">
        <v>453</v>
      </c>
      <c r="G3716" s="11" t="s">
        <v>1259</v>
      </c>
      <c r="H3716" s="11" t="s">
        <v>1565</v>
      </c>
      <c r="I3716" s="17" t="s">
        <v>296</v>
      </c>
      <c r="J3716" s="17">
        <v>16.207286100000001</v>
      </c>
      <c r="K3716" s="17">
        <v>-97.530664999999999</v>
      </c>
      <c r="L3716" s="17" t="str">
        <f>HYPERLINK("https://maps.google.com/?q=16.2072861,-97.530665", "🔗 Ver Mapa")</f>
        <v>🔗 Ver Mapa</v>
      </c>
    </row>
    <row r="3717" spans="1:12" ht="43.5" x14ac:dyDescent="0.35">
      <c r="A3717" s="5" t="s">
        <v>4</v>
      </c>
      <c r="B3717" s="5" t="s">
        <v>17</v>
      </c>
      <c r="C3717" s="5" t="s">
        <v>1564</v>
      </c>
      <c r="D3717" s="8" t="s">
        <v>64</v>
      </c>
      <c r="E3717" s="16" t="s">
        <v>74</v>
      </c>
      <c r="F3717" s="16" t="s">
        <v>453</v>
      </c>
      <c r="G3717" s="8" t="s">
        <v>1259</v>
      </c>
      <c r="H3717" s="8" t="s">
        <v>1565</v>
      </c>
      <c r="I3717" s="16" t="s">
        <v>296</v>
      </c>
      <c r="J3717" s="16">
        <v>16.207312999999999</v>
      </c>
      <c r="K3717" s="16">
        <v>-97.527812999999995</v>
      </c>
      <c r="L3717" s="16" t="str">
        <f>HYPERLINK("https://maps.google.com/?q=16.207313,-97.527813", "🔗 Ver Mapa")</f>
        <v>🔗 Ver Mapa</v>
      </c>
    </row>
    <row r="3718" spans="1:12" ht="43.5" x14ac:dyDescent="0.35">
      <c r="A3718" s="6" t="s">
        <v>4</v>
      </c>
      <c r="B3718" s="6" t="s">
        <v>17</v>
      </c>
      <c r="C3718" s="6" t="s">
        <v>1564</v>
      </c>
      <c r="D3718" s="11" t="s">
        <v>64</v>
      </c>
      <c r="E3718" s="17" t="s">
        <v>74</v>
      </c>
      <c r="F3718" s="17" t="s">
        <v>453</v>
      </c>
      <c r="G3718" s="11" t="s">
        <v>1259</v>
      </c>
      <c r="H3718" s="11" t="s">
        <v>1565</v>
      </c>
      <c r="I3718" s="17" t="s">
        <v>296</v>
      </c>
      <c r="J3718" s="17">
        <v>16.207347500000001</v>
      </c>
      <c r="K3718" s="17">
        <v>-97.529049599999993</v>
      </c>
      <c r="L3718" s="17" t="str">
        <f>HYPERLINK("https://maps.google.com/?q=16.2073475,-97.5290496", "🔗 Ver Mapa")</f>
        <v>🔗 Ver Mapa</v>
      </c>
    </row>
    <row r="3719" spans="1:12" ht="43.5" x14ac:dyDescent="0.35">
      <c r="A3719" s="5" t="s">
        <v>4</v>
      </c>
      <c r="B3719" s="5" t="s">
        <v>17</v>
      </c>
      <c r="C3719" s="5" t="s">
        <v>1564</v>
      </c>
      <c r="D3719" s="8" t="s">
        <v>64</v>
      </c>
      <c r="E3719" s="16" t="s">
        <v>74</v>
      </c>
      <c r="F3719" s="16" t="s">
        <v>453</v>
      </c>
      <c r="G3719" s="8" t="s">
        <v>1259</v>
      </c>
      <c r="H3719" s="8" t="s">
        <v>1565</v>
      </c>
      <c r="I3719" s="16" t="s">
        <v>296</v>
      </c>
      <c r="J3719" s="16">
        <v>16.207359100000001</v>
      </c>
      <c r="K3719" s="16">
        <v>-97.530975999999995</v>
      </c>
      <c r="L3719" s="16" t="str">
        <f>HYPERLINK("https://maps.google.com/?q=16.2073591,-97.530976", "🔗 Ver Mapa")</f>
        <v>🔗 Ver Mapa</v>
      </c>
    </row>
    <row r="3720" spans="1:12" ht="43.5" x14ac:dyDescent="0.35">
      <c r="A3720" s="6" t="s">
        <v>4</v>
      </c>
      <c r="B3720" s="6" t="s">
        <v>17</v>
      </c>
      <c r="C3720" s="6" t="s">
        <v>1564</v>
      </c>
      <c r="D3720" s="11" t="s">
        <v>64</v>
      </c>
      <c r="E3720" s="17" t="s">
        <v>74</v>
      </c>
      <c r="F3720" s="17" t="s">
        <v>453</v>
      </c>
      <c r="G3720" s="11" t="s">
        <v>1259</v>
      </c>
      <c r="H3720" s="11" t="s">
        <v>1565</v>
      </c>
      <c r="I3720" s="17" t="s">
        <v>296</v>
      </c>
      <c r="J3720" s="17">
        <v>16.207370099999999</v>
      </c>
      <c r="K3720" s="17">
        <v>-97.530881100000002</v>
      </c>
      <c r="L3720" s="17" t="str">
        <f>HYPERLINK("https://maps.google.com/?q=16.2073701,-97.5308811", "🔗 Ver Mapa")</f>
        <v>🔗 Ver Mapa</v>
      </c>
    </row>
    <row r="3721" spans="1:12" ht="43.5" x14ac:dyDescent="0.35">
      <c r="A3721" s="5" t="s">
        <v>4</v>
      </c>
      <c r="B3721" s="5" t="s">
        <v>17</v>
      </c>
      <c r="C3721" s="5" t="s">
        <v>1564</v>
      </c>
      <c r="D3721" s="8" t="s">
        <v>64</v>
      </c>
      <c r="E3721" s="16" t="s">
        <v>74</v>
      </c>
      <c r="F3721" s="16" t="s">
        <v>453</v>
      </c>
      <c r="G3721" s="8" t="s">
        <v>1259</v>
      </c>
      <c r="H3721" s="8" t="s">
        <v>1565</v>
      </c>
      <c r="I3721" s="16" t="s">
        <v>296</v>
      </c>
      <c r="J3721" s="16">
        <v>16.207383100000001</v>
      </c>
      <c r="K3721" s="16">
        <v>-97.532632000000007</v>
      </c>
      <c r="L3721" s="16" t="str">
        <f>HYPERLINK("https://maps.google.com/?q=16.2073831,-97.532632", "🔗 Ver Mapa")</f>
        <v>🔗 Ver Mapa</v>
      </c>
    </row>
    <row r="3722" spans="1:12" ht="43.5" x14ac:dyDescent="0.35">
      <c r="A3722" s="6" t="s">
        <v>4</v>
      </c>
      <c r="B3722" s="6" t="s">
        <v>17</v>
      </c>
      <c r="C3722" s="6" t="s">
        <v>1564</v>
      </c>
      <c r="D3722" s="11" t="s">
        <v>64</v>
      </c>
      <c r="E3722" s="17" t="s">
        <v>74</v>
      </c>
      <c r="F3722" s="17" t="s">
        <v>453</v>
      </c>
      <c r="G3722" s="11" t="s">
        <v>1259</v>
      </c>
      <c r="H3722" s="11" t="s">
        <v>1565</v>
      </c>
      <c r="I3722" s="17" t="s">
        <v>296</v>
      </c>
      <c r="J3722" s="17">
        <v>16.207433099999999</v>
      </c>
      <c r="K3722" s="17">
        <v>-97.528002000000001</v>
      </c>
      <c r="L3722" s="17" t="str">
        <f>HYPERLINK("https://maps.google.com/?q=16.2074331,-97.528002", "🔗 Ver Mapa")</f>
        <v>🔗 Ver Mapa</v>
      </c>
    </row>
    <row r="3723" spans="1:12" ht="43.5" x14ac:dyDescent="0.35">
      <c r="A3723" s="5" t="s">
        <v>4</v>
      </c>
      <c r="B3723" s="5" t="s">
        <v>17</v>
      </c>
      <c r="C3723" s="5" t="s">
        <v>1564</v>
      </c>
      <c r="D3723" s="8" t="s">
        <v>64</v>
      </c>
      <c r="E3723" s="16" t="s">
        <v>74</v>
      </c>
      <c r="F3723" s="16" t="s">
        <v>453</v>
      </c>
      <c r="G3723" s="8" t="s">
        <v>1259</v>
      </c>
      <c r="H3723" s="8" t="s">
        <v>1565</v>
      </c>
      <c r="I3723" s="16" t="s">
        <v>296</v>
      </c>
      <c r="J3723" s="16">
        <v>16.207467099999999</v>
      </c>
      <c r="K3723" s="16">
        <v>-97.530306999999993</v>
      </c>
      <c r="L3723" s="16" t="str">
        <f>HYPERLINK("https://maps.google.com/?q=16.2074671,-97.530307", "🔗 Ver Mapa")</f>
        <v>🔗 Ver Mapa</v>
      </c>
    </row>
    <row r="3724" spans="1:12" ht="43.5" x14ac:dyDescent="0.35">
      <c r="A3724" s="6" t="s">
        <v>4</v>
      </c>
      <c r="B3724" s="6" t="s">
        <v>17</v>
      </c>
      <c r="C3724" s="6" t="s">
        <v>1564</v>
      </c>
      <c r="D3724" s="11" t="s">
        <v>64</v>
      </c>
      <c r="E3724" s="17" t="s">
        <v>74</v>
      </c>
      <c r="F3724" s="17" t="s">
        <v>453</v>
      </c>
      <c r="G3724" s="11" t="s">
        <v>1259</v>
      </c>
      <c r="H3724" s="11" t="s">
        <v>1565</v>
      </c>
      <c r="I3724" s="17" t="s">
        <v>296</v>
      </c>
      <c r="J3724" s="17">
        <v>16.2074921</v>
      </c>
      <c r="K3724" s="17">
        <v>-97.531946000000005</v>
      </c>
      <c r="L3724" s="17" t="str">
        <f>HYPERLINK("https://maps.google.com/?q=16.2074921,-97.531946", "🔗 Ver Mapa")</f>
        <v>🔗 Ver Mapa</v>
      </c>
    </row>
    <row r="3725" spans="1:12" ht="43.5" x14ac:dyDescent="0.35">
      <c r="A3725" s="5" t="s">
        <v>4</v>
      </c>
      <c r="B3725" s="5" t="s">
        <v>17</v>
      </c>
      <c r="C3725" s="5" t="s">
        <v>1564</v>
      </c>
      <c r="D3725" s="8" t="s">
        <v>64</v>
      </c>
      <c r="E3725" s="16" t="s">
        <v>74</v>
      </c>
      <c r="F3725" s="16" t="s">
        <v>453</v>
      </c>
      <c r="G3725" s="8" t="s">
        <v>1259</v>
      </c>
      <c r="H3725" s="8" t="s">
        <v>1565</v>
      </c>
      <c r="I3725" s="16" t="s">
        <v>296</v>
      </c>
      <c r="J3725" s="16">
        <v>16.207500100000001</v>
      </c>
      <c r="K3725" s="16">
        <v>-97.532445999999993</v>
      </c>
      <c r="L3725" s="16" t="str">
        <f>HYPERLINK("https://maps.google.com/?q=16.2075001,-97.532446", "🔗 Ver Mapa")</f>
        <v>🔗 Ver Mapa</v>
      </c>
    </row>
    <row r="3726" spans="1:12" ht="43.5" x14ac:dyDescent="0.35">
      <c r="A3726" s="6" t="s">
        <v>4</v>
      </c>
      <c r="B3726" s="6" t="s">
        <v>17</v>
      </c>
      <c r="C3726" s="6" t="s">
        <v>1564</v>
      </c>
      <c r="D3726" s="11" t="s">
        <v>64</v>
      </c>
      <c r="E3726" s="17" t="s">
        <v>74</v>
      </c>
      <c r="F3726" s="17" t="s">
        <v>453</v>
      </c>
      <c r="G3726" s="11" t="s">
        <v>1259</v>
      </c>
      <c r="H3726" s="11" t="s">
        <v>1565</v>
      </c>
      <c r="I3726" s="17" t="s">
        <v>296</v>
      </c>
      <c r="J3726" s="17">
        <v>16.207567699999998</v>
      </c>
      <c r="K3726" s="17">
        <v>-97.529076000000003</v>
      </c>
      <c r="L3726" s="17" t="str">
        <f>HYPERLINK("https://maps.google.com/?q=16.2075677,-97.529076", "🔗 Ver Mapa")</f>
        <v>🔗 Ver Mapa</v>
      </c>
    </row>
    <row r="3727" spans="1:12" ht="43.5" x14ac:dyDescent="0.35">
      <c r="A3727" s="5" t="s">
        <v>4</v>
      </c>
      <c r="B3727" s="5" t="s">
        <v>17</v>
      </c>
      <c r="C3727" s="5" t="s">
        <v>1564</v>
      </c>
      <c r="D3727" s="8" t="s">
        <v>64</v>
      </c>
      <c r="E3727" s="16" t="s">
        <v>74</v>
      </c>
      <c r="F3727" s="16" t="s">
        <v>453</v>
      </c>
      <c r="G3727" s="8" t="s">
        <v>1259</v>
      </c>
      <c r="H3727" s="8" t="s">
        <v>1565</v>
      </c>
      <c r="I3727" s="16" t="s">
        <v>296</v>
      </c>
      <c r="J3727" s="16">
        <v>16.2075681</v>
      </c>
      <c r="K3727" s="16">
        <v>-97.527968999999999</v>
      </c>
      <c r="L3727" s="16" t="str">
        <f>HYPERLINK("https://maps.google.com/?q=16.2075681,-97.527969", "🔗 Ver Mapa")</f>
        <v>🔗 Ver Mapa</v>
      </c>
    </row>
    <row r="3728" spans="1:12" ht="43.5" x14ac:dyDescent="0.35">
      <c r="A3728" s="6" t="s">
        <v>4</v>
      </c>
      <c r="B3728" s="6" t="s">
        <v>17</v>
      </c>
      <c r="C3728" s="6" t="s">
        <v>1564</v>
      </c>
      <c r="D3728" s="11" t="s">
        <v>64</v>
      </c>
      <c r="E3728" s="17" t="s">
        <v>74</v>
      </c>
      <c r="F3728" s="17" t="s">
        <v>453</v>
      </c>
      <c r="G3728" s="11" t="s">
        <v>1259</v>
      </c>
      <c r="H3728" s="11" t="s">
        <v>1565</v>
      </c>
      <c r="I3728" s="17" t="s">
        <v>296</v>
      </c>
      <c r="J3728" s="17">
        <v>16.2076441</v>
      </c>
      <c r="K3728" s="17">
        <v>-97.530388000000002</v>
      </c>
      <c r="L3728" s="17" t="str">
        <f>HYPERLINK("https://maps.google.com/?q=16.2076441,-97.530388", "🔗 Ver Mapa")</f>
        <v>🔗 Ver Mapa</v>
      </c>
    </row>
    <row r="3729" spans="1:12" ht="43.5" x14ac:dyDescent="0.35">
      <c r="A3729" s="5" t="s">
        <v>4</v>
      </c>
      <c r="B3729" s="5" t="s">
        <v>17</v>
      </c>
      <c r="C3729" s="5" t="s">
        <v>1564</v>
      </c>
      <c r="D3729" s="8" t="s">
        <v>64</v>
      </c>
      <c r="E3729" s="16" t="s">
        <v>74</v>
      </c>
      <c r="F3729" s="16" t="s">
        <v>453</v>
      </c>
      <c r="G3729" s="8" t="s">
        <v>1259</v>
      </c>
      <c r="H3729" s="8" t="s">
        <v>1565</v>
      </c>
      <c r="I3729" s="16" t="s">
        <v>296</v>
      </c>
      <c r="J3729" s="16">
        <v>16.207732100000001</v>
      </c>
      <c r="K3729" s="16">
        <v>-97.530225000000002</v>
      </c>
      <c r="L3729" s="16" t="str">
        <f>HYPERLINK("https://maps.google.com/?q=16.2077321,-97.530225", "🔗 Ver Mapa")</f>
        <v>🔗 Ver Mapa</v>
      </c>
    </row>
    <row r="3730" spans="1:12" ht="43.5" x14ac:dyDescent="0.35">
      <c r="A3730" s="6" t="s">
        <v>4</v>
      </c>
      <c r="B3730" s="6" t="s">
        <v>17</v>
      </c>
      <c r="C3730" s="6" t="s">
        <v>1564</v>
      </c>
      <c r="D3730" s="11" t="s">
        <v>64</v>
      </c>
      <c r="E3730" s="17" t="s">
        <v>74</v>
      </c>
      <c r="F3730" s="17" t="s">
        <v>453</v>
      </c>
      <c r="G3730" s="11" t="s">
        <v>1259</v>
      </c>
      <c r="H3730" s="11" t="s">
        <v>1565</v>
      </c>
      <c r="I3730" s="17" t="s">
        <v>296</v>
      </c>
      <c r="J3730" s="17">
        <v>16.207739100000001</v>
      </c>
      <c r="K3730" s="17">
        <v>-97.527592999999996</v>
      </c>
      <c r="L3730" s="17" t="str">
        <f>HYPERLINK("https://maps.google.com/?q=16.2077391,-97.527593", "🔗 Ver Mapa")</f>
        <v>🔗 Ver Mapa</v>
      </c>
    </row>
    <row r="3731" spans="1:12" ht="43.5" x14ac:dyDescent="0.35">
      <c r="A3731" s="5" t="s">
        <v>4</v>
      </c>
      <c r="B3731" s="5" t="s">
        <v>17</v>
      </c>
      <c r="C3731" s="5" t="s">
        <v>1564</v>
      </c>
      <c r="D3731" s="8" t="s">
        <v>64</v>
      </c>
      <c r="E3731" s="16" t="s">
        <v>74</v>
      </c>
      <c r="F3731" s="16" t="s">
        <v>453</v>
      </c>
      <c r="G3731" s="8" t="s">
        <v>1259</v>
      </c>
      <c r="H3731" s="8" t="s">
        <v>1565</v>
      </c>
      <c r="I3731" s="16" t="s">
        <v>296</v>
      </c>
      <c r="J3731" s="16">
        <v>16.207740099999999</v>
      </c>
      <c r="K3731" s="16">
        <v>-97.527726999999999</v>
      </c>
      <c r="L3731" s="16" t="str">
        <f>HYPERLINK("https://maps.google.com/?q=16.2077401,-97.527727", "🔗 Ver Mapa")</f>
        <v>🔗 Ver Mapa</v>
      </c>
    </row>
    <row r="3732" spans="1:12" ht="43.5" x14ac:dyDescent="0.35">
      <c r="A3732" s="6" t="s">
        <v>4</v>
      </c>
      <c r="B3732" s="6" t="s">
        <v>17</v>
      </c>
      <c r="C3732" s="6" t="s">
        <v>1564</v>
      </c>
      <c r="D3732" s="11" t="s">
        <v>64</v>
      </c>
      <c r="E3732" s="17" t="s">
        <v>74</v>
      </c>
      <c r="F3732" s="17" t="s">
        <v>453</v>
      </c>
      <c r="G3732" s="11" t="s">
        <v>1259</v>
      </c>
      <c r="H3732" s="11" t="s">
        <v>1565</v>
      </c>
      <c r="I3732" s="17" t="s">
        <v>296</v>
      </c>
      <c r="J3732" s="17">
        <v>16.207750099999998</v>
      </c>
      <c r="K3732" s="17">
        <v>-97.532343999999995</v>
      </c>
      <c r="L3732" s="17" t="str">
        <f>HYPERLINK("https://maps.google.com/?q=16.2077501,-97.532344", "🔗 Ver Mapa")</f>
        <v>🔗 Ver Mapa</v>
      </c>
    </row>
    <row r="3733" spans="1:12" ht="43.5" x14ac:dyDescent="0.35">
      <c r="A3733" s="5" t="s">
        <v>4</v>
      </c>
      <c r="B3733" s="5" t="s">
        <v>17</v>
      </c>
      <c r="C3733" s="5" t="s">
        <v>1564</v>
      </c>
      <c r="D3733" s="8" t="s">
        <v>64</v>
      </c>
      <c r="E3733" s="16" t="s">
        <v>74</v>
      </c>
      <c r="F3733" s="16" t="s">
        <v>453</v>
      </c>
      <c r="G3733" s="8" t="s">
        <v>1259</v>
      </c>
      <c r="H3733" s="8" t="s">
        <v>1565</v>
      </c>
      <c r="I3733" s="16" t="s">
        <v>296</v>
      </c>
      <c r="J3733" s="16">
        <v>16.2077621</v>
      </c>
      <c r="K3733" s="16">
        <v>-97.529962999999995</v>
      </c>
      <c r="L3733" s="16" t="str">
        <f>HYPERLINK("https://maps.google.com/?q=16.2077621,-97.529963", "🔗 Ver Mapa")</f>
        <v>🔗 Ver Mapa</v>
      </c>
    </row>
    <row r="3734" spans="1:12" ht="43.5" x14ac:dyDescent="0.35">
      <c r="A3734" s="6" t="s">
        <v>4</v>
      </c>
      <c r="B3734" s="6" t="s">
        <v>17</v>
      </c>
      <c r="C3734" s="6" t="s">
        <v>1564</v>
      </c>
      <c r="D3734" s="11" t="s">
        <v>64</v>
      </c>
      <c r="E3734" s="17" t="s">
        <v>74</v>
      </c>
      <c r="F3734" s="17" t="s">
        <v>453</v>
      </c>
      <c r="G3734" s="11" t="s">
        <v>1259</v>
      </c>
      <c r="H3734" s="11" t="s">
        <v>1565</v>
      </c>
      <c r="I3734" s="17" t="s">
        <v>296</v>
      </c>
      <c r="J3734" s="17">
        <v>16.207778099999999</v>
      </c>
      <c r="K3734" s="17">
        <v>-97.527495000000002</v>
      </c>
      <c r="L3734" s="17" t="str">
        <f>HYPERLINK("https://maps.google.com/?q=16.2077781,-97.527495", "🔗 Ver Mapa")</f>
        <v>🔗 Ver Mapa</v>
      </c>
    </row>
    <row r="3735" spans="1:12" ht="43.5" x14ac:dyDescent="0.35">
      <c r="A3735" s="5" t="s">
        <v>4</v>
      </c>
      <c r="B3735" s="5" t="s">
        <v>17</v>
      </c>
      <c r="C3735" s="5" t="s">
        <v>1564</v>
      </c>
      <c r="D3735" s="8" t="s">
        <v>64</v>
      </c>
      <c r="E3735" s="16" t="s">
        <v>74</v>
      </c>
      <c r="F3735" s="16" t="s">
        <v>453</v>
      </c>
      <c r="G3735" s="8" t="s">
        <v>1259</v>
      </c>
      <c r="H3735" s="8" t="s">
        <v>1565</v>
      </c>
      <c r="I3735" s="16" t="s">
        <v>296</v>
      </c>
      <c r="J3735" s="16">
        <v>16.207791100000001</v>
      </c>
      <c r="K3735" s="16">
        <v>-97.527823999999995</v>
      </c>
      <c r="L3735" s="16" t="str">
        <f>HYPERLINK("https://maps.google.com/?q=16.2077911,-97.527824", "🔗 Ver Mapa")</f>
        <v>🔗 Ver Mapa</v>
      </c>
    </row>
    <row r="3736" spans="1:12" ht="43.5" x14ac:dyDescent="0.35">
      <c r="A3736" s="6" t="s">
        <v>4</v>
      </c>
      <c r="B3736" s="6" t="s">
        <v>17</v>
      </c>
      <c r="C3736" s="6" t="s">
        <v>1564</v>
      </c>
      <c r="D3736" s="11" t="s">
        <v>64</v>
      </c>
      <c r="E3736" s="17" t="s">
        <v>74</v>
      </c>
      <c r="F3736" s="17" t="s">
        <v>453</v>
      </c>
      <c r="G3736" s="11" t="s">
        <v>1259</v>
      </c>
      <c r="H3736" s="11" t="s">
        <v>1565</v>
      </c>
      <c r="I3736" s="17" t="s">
        <v>296</v>
      </c>
      <c r="J3736" s="17">
        <v>16.207792099999999</v>
      </c>
      <c r="K3736" s="17">
        <v>-97.529103000000006</v>
      </c>
      <c r="L3736" s="17" t="str">
        <f>HYPERLINK("https://maps.google.com/?q=16.2077921,-97.529103", "🔗 Ver Mapa")</f>
        <v>🔗 Ver Mapa</v>
      </c>
    </row>
    <row r="3737" spans="1:12" ht="43.5" x14ac:dyDescent="0.35">
      <c r="A3737" s="5" t="s">
        <v>4</v>
      </c>
      <c r="B3737" s="5" t="s">
        <v>17</v>
      </c>
      <c r="C3737" s="5" t="s">
        <v>1564</v>
      </c>
      <c r="D3737" s="8" t="s">
        <v>64</v>
      </c>
      <c r="E3737" s="16" t="s">
        <v>74</v>
      </c>
      <c r="F3737" s="16" t="s">
        <v>453</v>
      </c>
      <c r="G3737" s="8" t="s">
        <v>1259</v>
      </c>
      <c r="H3737" s="8" t="s">
        <v>1565</v>
      </c>
      <c r="I3737" s="16" t="s">
        <v>296</v>
      </c>
      <c r="J3737" s="16">
        <v>16.2078101</v>
      </c>
      <c r="K3737" s="16">
        <v>-97.529853000000003</v>
      </c>
      <c r="L3737" s="16" t="str">
        <f>HYPERLINK("https://maps.google.com/?q=16.2078101,-97.529853", "🔗 Ver Mapa")</f>
        <v>🔗 Ver Mapa</v>
      </c>
    </row>
    <row r="3738" spans="1:12" ht="43.5" x14ac:dyDescent="0.35">
      <c r="A3738" s="6" t="s">
        <v>4</v>
      </c>
      <c r="B3738" s="6" t="s">
        <v>17</v>
      </c>
      <c r="C3738" s="6" t="s">
        <v>1564</v>
      </c>
      <c r="D3738" s="11" t="s">
        <v>64</v>
      </c>
      <c r="E3738" s="17" t="s">
        <v>74</v>
      </c>
      <c r="F3738" s="17" t="s">
        <v>453</v>
      </c>
      <c r="G3738" s="11" t="s">
        <v>1259</v>
      </c>
      <c r="H3738" s="11" t="s">
        <v>1565</v>
      </c>
      <c r="I3738" s="17" t="s">
        <v>296</v>
      </c>
      <c r="J3738" s="17">
        <v>16.207850000000001</v>
      </c>
      <c r="K3738" s="17">
        <v>-97.528122999999994</v>
      </c>
      <c r="L3738" s="17" t="str">
        <f>HYPERLINK("https://maps.google.com/?q=16.20785,-97.528123", "🔗 Ver Mapa")</f>
        <v>🔗 Ver Mapa</v>
      </c>
    </row>
    <row r="3739" spans="1:12" ht="43.5" x14ac:dyDescent="0.35">
      <c r="A3739" s="5" t="s">
        <v>4</v>
      </c>
      <c r="B3739" s="5" t="s">
        <v>17</v>
      </c>
      <c r="C3739" s="5" t="s">
        <v>1564</v>
      </c>
      <c r="D3739" s="8" t="s">
        <v>64</v>
      </c>
      <c r="E3739" s="16" t="s">
        <v>74</v>
      </c>
      <c r="F3739" s="16" t="s">
        <v>453</v>
      </c>
      <c r="G3739" s="8" t="s">
        <v>1259</v>
      </c>
      <c r="H3739" s="8" t="s">
        <v>1565</v>
      </c>
      <c r="I3739" s="16" t="s">
        <v>296</v>
      </c>
      <c r="J3739" s="16">
        <v>16.207884100000001</v>
      </c>
      <c r="K3739" s="16">
        <v>-97.528018000000003</v>
      </c>
      <c r="L3739" s="16" t="str">
        <f>HYPERLINK("https://maps.google.com/?q=16.2078841,-97.528018", "🔗 Ver Mapa")</f>
        <v>🔗 Ver Mapa</v>
      </c>
    </row>
    <row r="3740" spans="1:12" ht="43.5" x14ac:dyDescent="0.35">
      <c r="A3740" s="6" t="s">
        <v>4</v>
      </c>
      <c r="B3740" s="6" t="s">
        <v>17</v>
      </c>
      <c r="C3740" s="6" t="s">
        <v>1564</v>
      </c>
      <c r="D3740" s="11" t="s">
        <v>64</v>
      </c>
      <c r="E3740" s="17" t="s">
        <v>74</v>
      </c>
      <c r="F3740" s="17" t="s">
        <v>453</v>
      </c>
      <c r="G3740" s="11" t="s">
        <v>1259</v>
      </c>
      <c r="H3740" s="11" t="s">
        <v>1565</v>
      </c>
      <c r="I3740" s="17" t="s">
        <v>296</v>
      </c>
      <c r="J3740" s="17">
        <v>16.207894100000001</v>
      </c>
      <c r="K3740" s="17">
        <v>-97.530417999999997</v>
      </c>
      <c r="L3740" s="17" t="str">
        <f>HYPERLINK("https://maps.google.com/?q=16.2078941,-97.530418", "🔗 Ver Mapa")</f>
        <v>🔗 Ver Mapa</v>
      </c>
    </row>
    <row r="3741" spans="1:12" ht="43.5" x14ac:dyDescent="0.35">
      <c r="A3741" s="5" t="s">
        <v>4</v>
      </c>
      <c r="B3741" s="5" t="s">
        <v>17</v>
      </c>
      <c r="C3741" s="5" t="s">
        <v>1564</v>
      </c>
      <c r="D3741" s="8" t="s">
        <v>64</v>
      </c>
      <c r="E3741" s="16" t="s">
        <v>74</v>
      </c>
      <c r="F3741" s="16" t="s">
        <v>453</v>
      </c>
      <c r="G3741" s="8" t="s">
        <v>1259</v>
      </c>
      <c r="H3741" s="8" t="s">
        <v>1565</v>
      </c>
      <c r="I3741" s="16" t="s">
        <v>296</v>
      </c>
      <c r="J3741" s="16">
        <v>16.207951099999999</v>
      </c>
      <c r="K3741" s="16">
        <v>-97.529153100000002</v>
      </c>
      <c r="L3741" s="16" t="str">
        <f>HYPERLINK("https://maps.google.com/?q=16.2079511,-97.5291531", "🔗 Ver Mapa")</f>
        <v>🔗 Ver Mapa</v>
      </c>
    </row>
    <row r="3742" spans="1:12" ht="43.5" x14ac:dyDescent="0.35">
      <c r="A3742" s="6" t="s">
        <v>4</v>
      </c>
      <c r="B3742" s="6" t="s">
        <v>17</v>
      </c>
      <c r="C3742" s="6" t="s">
        <v>1564</v>
      </c>
      <c r="D3742" s="11" t="s">
        <v>64</v>
      </c>
      <c r="E3742" s="17" t="s">
        <v>74</v>
      </c>
      <c r="F3742" s="17" t="s">
        <v>453</v>
      </c>
      <c r="G3742" s="11" t="s">
        <v>1259</v>
      </c>
      <c r="H3742" s="11" t="s">
        <v>1565</v>
      </c>
      <c r="I3742" s="17" t="s">
        <v>296</v>
      </c>
      <c r="J3742" s="17">
        <v>16.207954099999998</v>
      </c>
      <c r="K3742" s="17">
        <v>-97.528239999999997</v>
      </c>
      <c r="L3742" s="17" t="str">
        <f>HYPERLINK("https://maps.google.com/?q=16.2079541,-97.52824", "🔗 Ver Mapa")</f>
        <v>🔗 Ver Mapa</v>
      </c>
    </row>
    <row r="3743" spans="1:12" ht="43.5" x14ac:dyDescent="0.35">
      <c r="A3743" s="5" t="s">
        <v>4</v>
      </c>
      <c r="B3743" s="5" t="s">
        <v>17</v>
      </c>
      <c r="C3743" s="5" t="s">
        <v>1564</v>
      </c>
      <c r="D3743" s="8" t="s">
        <v>64</v>
      </c>
      <c r="E3743" s="16" t="s">
        <v>74</v>
      </c>
      <c r="F3743" s="16" t="s">
        <v>453</v>
      </c>
      <c r="G3743" s="8" t="s">
        <v>1259</v>
      </c>
      <c r="H3743" s="8" t="s">
        <v>1565</v>
      </c>
      <c r="I3743" s="16" t="s">
        <v>296</v>
      </c>
      <c r="J3743" s="16">
        <v>16.207972099999999</v>
      </c>
      <c r="K3743" s="16">
        <v>-97.532298999999995</v>
      </c>
      <c r="L3743" s="16" t="str">
        <f>HYPERLINK("https://maps.google.com/?q=16.2079721,-97.532299", "🔗 Ver Mapa")</f>
        <v>🔗 Ver Mapa</v>
      </c>
    </row>
    <row r="3744" spans="1:12" ht="43.5" x14ac:dyDescent="0.35">
      <c r="A3744" s="6" t="s">
        <v>4</v>
      </c>
      <c r="B3744" s="6" t="s">
        <v>17</v>
      </c>
      <c r="C3744" s="6" t="s">
        <v>1564</v>
      </c>
      <c r="D3744" s="11" t="s">
        <v>64</v>
      </c>
      <c r="E3744" s="17" t="s">
        <v>74</v>
      </c>
      <c r="F3744" s="17" t="s">
        <v>453</v>
      </c>
      <c r="G3744" s="11" t="s">
        <v>1259</v>
      </c>
      <c r="H3744" s="11" t="s">
        <v>1565</v>
      </c>
      <c r="I3744" s="17" t="s">
        <v>296</v>
      </c>
      <c r="J3744" s="17">
        <v>16.207977100000001</v>
      </c>
      <c r="K3744" s="17">
        <v>-97.527704999999997</v>
      </c>
      <c r="L3744" s="17" t="str">
        <f>HYPERLINK("https://maps.google.com/?q=16.2079771,-97.527705", "🔗 Ver Mapa")</f>
        <v>🔗 Ver Mapa</v>
      </c>
    </row>
    <row r="3745" spans="1:12" ht="43.5" x14ac:dyDescent="0.35">
      <c r="A3745" s="5" t="s">
        <v>4</v>
      </c>
      <c r="B3745" s="5" t="s">
        <v>17</v>
      </c>
      <c r="C3745" s="5" t="s">
        <v>1564</v>
      </c>
      <c r="D3745" s="8" t="s">
        <v>64</v>
      </c>
      <c r="E3745" s="16" t="s">
        <v>74</v>
      </c>
      <c r="F3745" s="16" t="s">
        <v>453</v>
      </c>
      <c r="G3745" s="8" t="s">
        <v>1259</v>
      </c>
      <c r="H3745" s="8" t="s">
        <v>1565</v>
      </c>
      <c r="I3745" s="16" t="s">
        <v>296</v>
      </c>
      <c r="J3745" s="16">
        <v>16.2079901</v>
      </c>
      <c r="K3745" s="16">
        <v>-97.529604000000006</v>
      </c>
      <c r="L3745" s="16" t="str">
        <f>HYPERLINK("https://maps.google.com/?q=16.2079901,-97.529604", "🔗 Ver Mapa")</f>
        <v>🔗 Ver Mapa</v>
      </c>
    </row>
    <row r="3746" spans="1:12" ht="43.5" x14ac:dyDescent="0.35">
      <c r="A3746" s="6" t="s">
        <v>4</v>
      </c>
      <c r="B3746" s="6" t="s">
        <v>17</v>
      </c>
      <c r="C3746" s="6" t="s">
        <v>1564</v>
      </c>
      <c r="D3746" s="11" t="s">
        <v>64</v>
      </c>
      <c r="E3746" s="17" t="s">
        <v>74</v>
      </c>
      <c r="F3746" s="17" t="s">
        <v>453</v>
      </c>
      <c r="G3746" s="11" t="s">
        <v>1259</v>
      </c>
      <c r="H3746" s="11" t="s">
        <v>1565</v>
      </c>
      <c r="I3746" s="17" t="s">
        <v>296</v>
      </c>
      <c r="J3746" s="17">
        <v>16.208040100000002</v>
      </c>
      <c r="K3746" s="17">
        <v>-97.527620999999996</v>
      </c>
      <c r="L3746" s="17" t="str">
        <f>HYPERLINK("https://maps.google.com/?q=16.2080401,-97.527621", "🔗 Ver Mapa")</f>
        <v>🔗 Ver Mapa</v>
      </c>
    </row>
    <row r="3747" spans="1:12" ht="43.5" x14ac:dyDescent="0.35">
      <c r="A3747" s="5" t="s">
        <v>4</v>
      </c>
      <c r="B3747" s="5" t="s">
        <v>17</v>
      </c>
      <c r="C3747" s="5" t="s">
        <v>1564</v>
      </c>
      <c r="D3747" s="8" t="s">
        <v>64</v>
      </c>
      <c r="E3747" s="16" t="s">
        <v>74</v>
      </c>
      <c r="F3747" s="16" t="s">
        <v>453</v>
      </c>
      <c r="G3747" s="8" t="s">
        <v>1259</v>
      </c>
      <c r="H3747" s="8" t="s">
        <v>1565</v>
      </c>
      <c r="I3747" s="16" t="s">
        <v>296</v>
      </c>
      <c r="J3747" s="16">
        <v>16.2080631</v>
      </c>
      <c r="K3747" s="16">
        <v>-97.530473099999995</v>
      </c>
      <c r="L3747" s="16" t="str">
        <f>HYPERLINK("https://maps.google.com/?q=16.2080631,-97.5304731", "🔗 Ver Mapa")</f>
        <v>🔗 Ver Mapa</v>
      </c>
    </row>
    <row r="3748" spans="1:12" ht="43.5" x14ac:dyDescent="0.35">
      <c r="A3748" s="6" t="s">
        <v>4</v>
      </c>
      <c r="B3748" s="6" t="s">
        <v>17</v>
      </c>
      <c r="C3748" s="6" t="s">
        <v>1564</v>
      </c>
      <c r="D3748" s="11" t="s">
        <v>64</v>
      </c>
      <c r="E3748" s="17" t="s">
        <v>74</v>
      </c>
      <c r="F3748" s="17" t="s">
        <v>453</v>
      </c>
      <c r="G3748" s="11" t="s">
        <v>1259</v>
      </c>
      <c r="H3748" s="11" t="s">
        <v>1565</v>
      </c>
      <c r="I3748" s="17" t="s">
        <v>296</v>
      </c>
      <c r="J3748" s="17">
        <v>16.2080658</v>
      </c>
      <c r="K3748" s="17">
        <v>-97.528376899999998</v>
      </c>
      <c r="L3748" s="17" t="str">
        <f>HYPERLINK("https://maps.google.com/?q=16.2080658,-97.5283769", "🔗 Ver Mapa")</f>
        <v>🔗 Ver Mapa</v>
      </c>
    </row>
    <row r="3749" spans="1:12" ht="43.5" x14ac:dyDescent="0.35">
      <c r="A3749" s="5" t="s">
        <v>4</v>
      </c>
      <c r="B3749" s="5" t="s">
        <v>17</v>
      </c>
      <c r="C3749" s="5" t="s">
        <v>1564</v>
      </c>
      <c r="D3749" s="8" t="s">
        <v>64</v>
      </c>
      <c r="E3749" s="16" t="s">
        <v>74</v>
      </c>
      <c r="F3749" s="16" t="s">
        <v>453</v>
      </c>
      <c r="G3749" s="8" t="s">
        <v>1259</v>
      </c>
      <c r="H3749" s="8" t="s">
        <v>1565</v>
      </c>
      <c r="I3749" s="16" t="s">
        <v>296</v>
      </c>
      <c r="J3749" s="16">
        <v>16.208099099999998</v>
      </c>
      <c r="K3749" s="16">
        <v>-97.532399999999996</v>
      </c>
      <c r="L3749" s="16" t="str">
        <f>HYPERLINK("https://maps.google.com/?q=16.2080991,-97.5324", "🔗 Ver Mapa")</f>
        <v>🔗 Ver Mapa</v>
      </c>
    </row>
    <row r="3750" spans="1:12" ht="43.5" x14ac:dyDescent="0.35">
      <c r="A3750" s="6" t="s">
        <v>4</v>
      </c>
      <c r="B3750" s="6" t="s">
        <v>17</v>
      </c>
      <c r="C3750" s="6" t="s">
        <v>1564</v>
      </c>
      <c r="D3750" s="11" t="s">
        <v>64</v>
      </c>
      <c r="E3750" s="17" t="s">
        <v>74</v>
      </c>
      <c r="F3750" s="17" t="s">
        <v>453</v>
      </c>
      <c r="G3750" s="11" t="s">
        <v>1259</v>
      </c>
      <c r="H3750" s="11" t="s">
        <v>1565</v>
      </c>
      <c r="I3750" s="17" t="s">
        <v>296</v>
      </c>
      <c r="J3750" s="17">
        <v>16.2081731</v>
      </c>
      <c r="K3750" s="17">
        <v>-97.528234999999995</v>
      </c>
      <c r="L3750" s="17" t="str">
        <f>HYPERLINK("https://maps.google.com/?q=16.2081731,-97.528235", "🔗 Ver Mapa")</f>
        <v>🔗 Ver Mapa</v>
      </c>
    </row>
    <row r="3751" spans="1:12" ht="43.5" x14ac:dyDescent="0.35">
      <c r="A3751" s="5" t="s">
        <v>4</v>
      </c>
      <c r="B3751" s="5" t="s">
        <v>17</v>
      </c>
      <c r="C3751" s="5" t="s">
        <v>1564</v>
      </c>
      <c r="D3751" s="8" t="s">
        <v>64</v>
      </c>
      <c r="E3751" s="16" t="s">
        <v>74</v>
      </c>
      <c r="F3751" s="16" t="s">
        <v>453</v>
      </c>
      <c r="G3751" s="8" t="s">
        <v>1259</v>
      </c>
      <c r="H3751" s="8" t="s">
        <v>1565</v>
      </c>
      <c r="I3751" s="16" t="s">
        <v>296</v>
      </c>
      <c r="J3751" s="16">
        <v>16.208174100000001</v>
      </c>
      <c r="K3751" s="16">
        <v>-97.528137999999998</v>
      </c>
      <c r="L3751" s="16" t="str">
        <f>HYPERLINK("https://maps.google.com/?q=16.2081741,-97.528138", "🔗 Ver Mapa")</f>
        <v>🔗 Ver Mapa</v>
      </c>
    </row>
    <row r="3752" spans="1:12" ht="43.5" x14ac:dyDescent="0.35">
      <c r="A3752" s="6" t="s">
        <v>4</v>
      </c>
      <c r="B3752" s="6" t="s">
        <v>17</v>
      </c>
      <c r="C3752" s="6" t="s">
        <v>1564</v>
      </c>
      <c r="D3752" s="11" t="s">
        <v>64</v>
      </c>
      <c r="E3752" s="17" t="s">
        <v>74</v>
      </c>
      <c r="F3752" s="17" t="s">
        <v>453</v>
      </c>
      <c r="G3752" s="11" t="s">
        <v>1259</v>
      </c>
      <c r="H3752" s="11" t="s">
        <v>1565</v>
      </c>
      <c r="I3752" s="17" t="s">
        <v>296</v>
      </c>
      <c r="J3752" s="17">
        <v>16.2081801</v>
      </c>
      <c r="K3752" s="17">
        <v>-97.527621999999994</v>
      </c>
      <c r="L3752" s="17" t="str">
        <f>HYPERLINK("https://maps.google.com/?q=16.2081801,-97.527622", "🔗 Ver Mapa")</f>
        <v>🔗 Ver Mapa</v>
      </c>
    </row>
    <row r="3753" spans="1:12" ht="43.5" x14ac:dyDescent="0.35">
      <c r="A3753" s="5" t="s">
        <v>4</v>
      </c>
      <c r="B3753" s="5" t="s">
        <v>17</v>
      </c>
      <c r="C3753" s="5" t="s">
        <v>1564</v>
      </c>
      <c r="D3753" s="8" t="s">
        <v>64</v>
      </c>
      <c r="E3753" s="16" t="s">
        <v>74</v>
      </c>
      <c r="F3753" s="16" t="s">
        <v>453</v>
      </c>
      <c r="G3753" s="8" t="s">
        <v>1259</v>
      </c>
      <c r="H3753" s="8" t="s">
        <v>1565</v>
      </c>
      <c r="I3753" s="16" t="s">
        <v>296</v>
      </c>
      <c r="J3753" s="16">
        <v>16.208189099999998</v>
      </c>
      <c r="K3753" s="16">
        <v>-97.532753999999997</v>
      </c>
      <c r="L3753" s="16" t="str">
        <f>HYPERLINK("https://maps.google.com/?q=16.2081891,-97.532754", "🔗 Ver Mapa")</f>
        <v>🔗 Ver Mapa</v>
      </c>
    </row>
    <row r="3754" spans="1:12" ht="43.5" x14ac:dyDescent="0.35">
      <c r="A3754" s="6" t="s">
        <v>4</v>
      </c>
      <c r="B3754" s="6" t="s">
        <v>17</v>
      </c>
      <c r="C3754" s="6" t="s">
        <v>1564</v>
      </c>
      <c r="D3754" s="11" t="s">
        <v>64</v>
      </c>
      <c r="E3754" s="17" t="s">
        <v>74</v>
      </c>
      <c r="F3754" s="17" t="s">
        <v>453</v>
      </c>
      <c r="G3754" s="11" t="s">
        <v>1259</v>
      </c>
      <c r="H3754" s="11" t="s">
        <v>1565</v>
      </c>
      <c r="I3754" s="17" t="s">
        <v>296</v>
      </c>
      <c r="J3754" s="17">
        <v>16.208193099999999</v>
      </c>
      <c r="K3754" s="17">
        <v>-97.527640000000005</v>
      </c>
      <c r="L3754" s="17" t="str">
        <f>HYPERLINK("https://maps.google.com/?q=16.2081931,-97.52764", "🔗 Ver Mapa")</f>
        <v>🔗 Ver Mapa</v>
      </c>
    </row>
    <row r="3755" spans="1:12" ht="43.5" x14ac:dyDescent="0.35">
      <c r="A3755" s="5" t="s">
        <v>4</v>
      </c>
      <c r="B3755" s="5" t="s">
        <v>17</v>
      </c>
      <c r="C3755" s="5" t="s">
        <v>1564</v>
      </c>
      <c r="D3755" s="8" t="s">
        <v>64</v>
      </c>
      <c r="E3755" s="16" t="s">
        <v>74</v>
      </c>
      <c r="F3755" s="16" t="s">
        <v>453</v>
      </c>
      <c r="G3755" s="8" t="s">
        <v>1259</v>
      </c>
      <c r="H3755" s="8" t="s">
        <v>1565</v>
      </c>
      <c r="I3755" s="16" t="s">
        <v>296</v>
      </c>
      <c r="J3755" s="16">
        <v>16.2081941</v>
      </c>
      <c r="K3755" s="16">
        <v>-97.529302000000001</v>
      </c>
      <c r="L3755" s="16" t="str">
        <f>HYPERLINK("https://maps.google.com/?q=16.2081941,-97.529302", "🔗 Ver Mapa")</f>
        <v>🔗 Ver Mapa</v>
      </c>
    </row>
    <row r="3756" spans="1:12" ht="43.5" x14ac:dyDescent="0.35">
      <c r="A3756" s="6" t="s">
        <v>4</v>
      </c>
      <c r="B3756" s="6" t="s">
        <v>17</v>
      </c>
      <c r="C3756" s="6" t="s">
        <v>1564</v>
      </c>
      <c r="D3756" s="11" t="s">
        <v>64</v>
      </c>
      <c r="E3756" s="17" t="s">
        <v>74</v>
      </c>
      <c r="F3756" s="17" t="s">
        <v>453</v>
      </c>
      <c r="G3756" s="11" t="s">
        <v>1259</v>
      </c>
      <c r="H3756" s="11" t="s">
        <v>1565</v>
      </c>
      <c r="I3756" s="17" t="s">
        <v>296</v>
      </c>
      <c r="J3756" s="17">
        <v>16.2081971</v>
      </c>
      <c r="K3756" s="17">
        <v>-97.528385</v>
      </c>
      <c r="L3756" s="17" t="str">
        <f>HYPERLINK("https://maps.google.com/?q=16.2081971,-97.528385", "🔗 Ver Mapa")</f>
        <v>🔗 Ver Mapa</v>
      </c>
    </row>
    <row r="3757" spans="1:12" ht="43.5" x14ac:dyDescent="0.35">
      <c r="A3757" s="5" t="s">
        <v>4</v>
      </c>
      <c r="B3757" s="5" t="s">
        <v>17</v>
      </c>
      <c r="C3757" s="5" t="s">
        <v>1564</v>
      </c>
      <c r="D3757" s="8" t="s">
        <v>64</v>
      </c>
      <c r="E3757" s="16" t="s">
        <v>74</v>
      </c>
      <c r="F3757" s="16" t="s">
        <v>453</v>
      </c>
      <c r="G3757" s="8" t="s">
        <v>1259</v>
      </c>
      <c r="H3757" s="8" t="s">
        <v>1565</v>
      </c>
      <c r="I3757" s="16" t="s">
        <v>296</v>
      </c>
      <c r="J3757" s="16">
        <v>16.208198100000001</v>
      </c>
      <c r="K3757" s="16">
        <v>-97.528538999999995</v>
      </c>
      <c r="L3757" s="16" t="str">
        <f>HYPERLINK("https://maps.google.com/?q=16.2081981,-97.528539", "🔗 Ver Mapa")</f>
        <v>🔗 Ver Mapa</v>
      </c>
    </row>
    <row r="3758" spans="1:12" ht="43.5" x14ac:dyDescent="0.35">
      <c r="A3758" s="6" t="s">
        <v>4</v>
      </c>
      <c r="B3758" s="6" t="s">
        <v>17</v>
      </c>
      <c r="C3758" s="6" t="s">
        <v>1564</v>
      </c>
      <c r="D3758" s="11" t="s">
        <v>64</v>
      </c>
      <c r="E3758" s="17" t="s">
        <v>74</v>
      </c>
      <c r="F3758" s="17" t="s">
        <v>453</v>
      </c>
      <c r="G3758" s="11" t="s">
        <v>1259</v>
      </c>
      <c r="H3758" s="11" t="s">
        <v>1565</v>
      </c>
      <c r="I3758" s="17" t="s">
        <v>296</v>
      </c>
      <c r="J3758" s="17">
        <v>16.208202100000001</v>
      </c>
      <c r="K3758" s="17">
        <v>-97.527767999999995</v>
      </c>
      <c r="L3758" s="17" t="str">
        <f>HYPERLINK("https://maps.google.com/?q=16.2082021,-97.527768", "🔗 Ver Mapa")</f>
        <v>🔗 Ver Mapa</v>
      </c>
    </row>
    <row r="3759" spans="1:12" ht="43.5" x14ac:dyDescent="0.35">
      <c r="A3759" s="5" t="s">
        <v>4</v>
      </c>
      <c r="B3759" s="5" t="s">
        <v>17</v>
      </c>
      <c r="C3759" s="5" t="s">
        <v>1564</v>
      </c>
      <c r="D3759" s="8" t="s">
        <v>64</v>
      </c>
      <c r="E3759" s="16" t="s">
        <v>74</v>
      </c>
      <c r="F3759" s="16" t="s">
        <v>453</v>
      </c>
      <c r="G3759" s="8" t="s">
        <v>1259</v>
      </c>
      <c r="H3759" s="8" t="s">
        <v>1565</v>
      </c>
      <c r="I3759" s="16" t="s">
        <v>296</v>
      </c>
      <c r="J3759" s="16">
        <v>16.208230100000002</v>
      </c>
      <c r="K3759" s="16">
        <v>-97.527932000000007</v>
      </c>
      <c r="L3759" s="16" t="str">
        <f>HYPERLINK("https://maps.google.com/?q=16.2082301,-97.527932", "🔗 Ver Mapa")</f>
        <v>🔗 Ver Mapa</v>
      </c>
    </row>
    <row r="3760" spans="1:12" ht="43.5" x14ac:dyDescent="0.35">
      <c r="A3760" s="6" t="s">
        <v>4</v>
      </c>
      <c r="B3760" s="6" t="s">
        <v>17</v>
      </c>
      <c r="C3760" s="6" t="s">
        <v>1564</v>
      </c>
      <c r="D3760" s="11" t="s">
        <v>64</v>
      </c>
      <c r="E3760" s="17" t="s">
        <v>74</v>
      </c>
      <c r="F3760" s="17" t="s">
        <v>453</v>
      </c>
      <c r="G3760" s="11" t="s">
        <v>1259</v>
      </c>
      <c r="H3760" s="11" t="s">
        <v>1565</v>
      </c>
      <c r="I3760" s="17" t="s">
        <v>296</v>
      </c>
      <c r="J3760" s="17">
        <v>16.208233100000001</v>
      </c>
      <c r="K3760" s="17">
        <v>-97.530445999999998</v>
      </c>
      <c r="L3760" s="17" t="str">
        <f>HYPERLINK("https://maps.google.com/?q=16.2082331,-97.530446", "🔗 Ver Mapa")</f>
        <v>🔗 Ver Mapa</v>
      </c>
    </row>
    <row r="3761" spans="1:12" ht="43.5" x14ac:dyDescent="0.35">
      <c r="A3761" s="5" t="s">
        <v>4</v>
      </c>
      <c r="B3761" s="5" t="s">
        <v>17</v>
      </c>
      <c r="C3761" s="5" t="s">
        <v>1564</v>
      </c>
      <c r="D3761" s="8" t="s">
        <v>64</v>
      </c>
      <c r="E3761" s="16" t="s">
        <v>74</v>
      </c>
      <c r="F3761" s="16" t="s">
        <v>453</v>
      </c>
      <c r="G3761" s="8" t="s">
        <v>1259</v>
      </c>
      <c r="H3761" s="8" t="s">
        <v>1565</v>
      </c>
      <c r="I3761" s="16" t="s">
        <v>296</v>
      </c>
      <c r="J3761" s="16">
        <v>16.2083051</v>
      </c>
      <c r="K3761" s="16">
        <v>-97.528203000000005</v>
      </c>
      <c r="L3761" s="16" t="str">
        <f>HYPERLINK("https://maps.google.com/?q=16.2083051,-97.528203", "🔗 Ver Mapa")</f>
        <v>🔗 Ver Mapa</v>
      </c>
    </row>
    <row r="3762" spans="1:12" ht="43.5" x14ac:dyDescent="0.35">
      <c r="A3762" s="6" t="s">
        <v>4</v>
      </c>
      <c r="B3762" s="6" t="s">
        <v>17</v>
      </c>
      <c r="C3762" s="6" t="s">
        <v>1564</v>
      </c>
      <c r="D3762" s="11" t="s">
        <v>64</v>
      </c>
      <c r="E3762" s="17" t="s">
        <v>74</v>
      </c>
      <c r="F3762" s="17" t="s">
        <v>453</v>
      </c>
      <c r="G3762" s="11" t="s">
        <v>1259</v>
      </c>
      <c r="H3762" s="11" t="s">
        <v>1565</v>
      </c>
      <c r="I3762" s="17" t="s">
        <v>296</v>
      </c>
      <c r="J3762" s="17">
        <v>16.208319100000001</v>
      </c>
      <c r="K3762" s="17">
        <v>-97.532910999999999</v>
      </c>
      <c r="L3762" s="17" t="str">
        <f>HYPERLINK("https://maps.google.com/?q=16.2083191,-97.532911", "🔗 Ver Mapa")</f>
        <v>🔗 Ver Mapa</v>
      </c>
    </row>
    <row r="3763" spans="1:12" ht="43.5" x14ac:dyDescent="0.35">
      <c r="A3763" s="5" t="s">
        <v>4</v>
      </c>
      <c r="B3763" s="5" t="s">
        <v>17</v>
      </c>
      <c r="C3763" s="5" t="s">
        <v>1564</v>
      </c>
      <c r="D3763" s="8" t="s">
        <v>64</v>
      </c>
      <c r="E3763" s="16" t="s">
        <v>74</v>
      </c>
      <c r="F3763" s="16" t="s">
        <v>453</v>
      </c>
      <c r="G3763" s="8" t="s">
        <v>1259</v>
      </c>
      <c r="H3763" s="8" t="s">
        <v>1565</v>
      </c>
      <c r="I3763" s="16" t="s">
        <v>296</v>
      </c>
      <c r="J3763" s="16">
        <v>16.208324099999999</v>
      </c>
      <c r="K3763" s="16">
        <v>-97.528744000000003</v>
      </c>
      <c r="L3763" s="16" t="str">
        <f>HYPERLINK("https://maps.google.com/?q=16.2083241,-97.528744", "🔗 Ver Mapa")</f>
        <v>🔗 Ver Mapa</v>
      </c>
    </row>
    <row r="3764" spans="1:12" ht="43.5" x14ac:dyDescent="0.35">
      <c r="A3764" s="6" t="s">
        <v>4</v>
      </c>
      <c r="B3764" s="6" t="s">
        <v>17</v>
      </c>
      <c r="C3764" s="6" t="s">
        <v>1564</v>
      </c>
      <c r="D3764" s="11" t="s">
        <v>64</v>
      </c>
      <c r="E3764" s="17" t="s">
        <v>74</v>
      </c>
      <c r="F3764" s="17" t="s">
        <v>453</v>
      </c>
      <c r="G3764" s="11" t="s">
        <v>1259</v>
      </c>
      <c r="H3764" s="11" t="s">
        <v>1565</v>
      </c>
      <c r="I3764" s="17" t="s">
        <v>296</v>
      </c>
      <c r="J3764" s="17">
        <v>16.2083771</v>
      </c>
      <c r="K3764" s="17">
        <v>-97.528876999999994</v>
      </c>
      <c r="L3764" s="17" t="str">
        <f>HYPERLINK("https://maps.google.com/?q=16.2083771,-97.528877", "🔗 Ver Mapa")</f>
        <v>🔗 Ver Mapa</v>
      </c>
    </row>
    <row r="3765" spans="1:12" ht="43.5" x14ac:dyDescent="0.35">
      <c r="A3765" s="5" t="s">
        <v>4</v>
      </c>
      <c r="B3765" s="5" t="s">
        <v>17</v>
      </c>
      <c r="C3765" s="5" t="s">
        <v>1564</v>
      </c>
      <c r="D3765" s="8" t="s">
        <v>64</v>
      </c>
      <c r="E3765" s="16" t="s">
        <v>74</v>
      </c>
      <c r="F3765" s="16" t="s">
        <v>453</v>
      </c>
      <c r="G3765" s="8" t="s">
        <v>1259</v>
      </c>
      <c r="H3765" s="8" t="s">
        <v>1565</v>
      </c>
      <c r="I3765" s="16" t="s">
        <v>296</v>
      </c>
      <c r="J3765" s="16">
        <v>16.208400099999999</v>
      </c>
      <c r="K3765" s="16">
        <v>-97.528233</v>
      </c>
      <c r="L3765" s="16" t="str">
        <f>HYPERLINK("https://maps.google.com/?q=16.2084001,-97.528233", "🔗 Ver Mapa")</f>
        <v>🔗 Ver Mapa</v>
      </c>
    </row>
    <row r="3766" spans="1:12" ht="43.5" x14ac:dyDescent="0.35">
      <c r="A3766" s="6" t="s">
        <v>4</v>
      </c>
      <c r="B3766" s="6" t="s">
        <v>17</v>
      </c>
      <c r="C3766" s="6" t="s">
        <v>1564</v>
      </c>
      <c r="D3766" s="11" t="s">
        <v>64</v>
      </c>
      <c r="E3766" s="17" t="s">
        <v>74</v>
      </c>
      <c r="F3766" s="17" t="s">
        <v>453</v>
      </c>
      <c r="G3766" s="11" t="s">
        <v>1259</v>
      </c>
      <c r="H3766" s="11" t="s">
        <v>1565</v>
      </c>
      <c r="I3766" s="17" t="s">
        <v>296</v>
      </c>
      <c r="J3766" s="17">
        <v>16.208407099999999</v>
      </c>
      <c r="K3766" s="17">
        <v>-97.529077999999998</v>
      </c>
      <c r="L3766" s="17" t="str">
        <f>HYPERLINK("https://maps.google.com/?q=16.2084071,-97.529078", "🔗 Ver Mapa")</f>
        <v>🔗 Ver Mapa</v>
      </c>
    </row>
    <row r="3767" spans="1:12" ht="43.5" x14ac:dyDescent="0.35">
      <c r="A3767" s="5" t="s">
        <v>4</v>
      </c>
      <c r="B3767" s="5" t="s">
        <v>17</v>
      </c>
      <c r="C3767" s="5" t="s">
        <v>1564</v>
      </c>
      <c r="D3767" s="8" t="s">
        <v>64</v>
      </c>
      <c r="E3767" s="16" t="s">
        <v>74</v>
      </c>
      <c r="F3767" s="16" t="s">
        <v>453</v>
      </c>
      <c r="G3767" s="8" t="s">
        <v>1259</v>
      </c>
      <c r="H3767" s="8" t="s">
        <v>1565</v>
      </c>
      <c r="I3767" s="16" t="s">
        <v>296</v>
      </c>
      <c r="J3767" s="16">
        <v>16.208447100000001</v>
      </c>
      <c r="K3767" s="16">
        <v>-97.532409000000001</v>
      </c>
      <c r="L3767" s="16" t="str">
        <f>HYPERLINK("https://maps.google.com/?q=16.2084471,-97.532409", "🔗 Ver Mapa")</f>
        <v>🔗 Ver Mapa</v>
      </c>
    </row>
    <row r="3768" spans="1:12" ht="43.5" x14ac:dyDescent="0.35">
      <c r="A3768" s="6" t="s">
        <v>4</v>
      </c>
      <c r="B3768" s="6" t="s">
        <v>17</v>
      </c>
      <c r="C3768" s="6" t="s">
        <v>1564</v>
      </c>
      <c r="D3768" s="11" t="s">
        <v>64</v>
      </c>
      <c r="E3768" s="17" t="s">
        <v>74</v>
      </c>
      <c r="F3768" s="17" t="s">
        <v>453</v>
      </c>
      <c r="G3768" s="11" t="s">
        <v>1259</v>
      </c>
      <c r="H3768" s="11" t="s">
        <v>1565</v>
      </c>
      <c r="I3768" s="17" t="s">
        <v>296</v>
      </c>
      <c r="J3768" s="17">
        <v>16.208472</v>
      </c>
      <c r="K3768" s="17">
        <v>-97.532627500000004</v>
      </c>
      <c r="L3768" s="17" t="str">
        <f>HYPERLINK("https://maps.google.com/?q=16.208472,-97.5326275", "🔗 Ver Mapa")</f>
        <v>🔗 Ver Mapa</v>
      </c>
    </row>
    <row r="3769" spans="1:12" ht="43.5" x14ac:dyDescent="0.35">
      <c r="A3769" s="5" t="s">
        <v>4</v>
      </c>
      <c r="B3769" s="5" t="s">
        <v>17</v>
      </c>
      <c r="C3769" s="5" t="s">
        <v>1564</v>
      </c>
      <c r="D3769" s="8" t="s">
        <v>64</v>
      </c>
      <c r="E3769" s="16" t="s">
        <v>74</v>
      </c>
      <c r="F3769" s="16" t="s">
        <v>453</v>
      </c>
      <c r="G3769" s="8" t="s">
        <v>1259</v>
      </c>
      <c r="H3769" s="8" t="s">
        <v>1565</v>
      </c>
      <c r="I3769" s="16" t="s">
        <v>296</v>
      </c>
      <c r="J3769" s="16">
        <v>16.208476099999999</v>
      </c>
      <c r="K3769" s="16">
        <v>-97.532990999999996</v>
      </c>
      <c r="L3769" s="16" t="str">
        <f>HYPERLINK("https://maps.google.com/?q=16.2084761,-97.532991", "🔗 Ver Mapa")</f>
        <v>🔗 Ver Mapa</v>
      </c>
    </row>
    <row r="3770" spans="1:12" ht="43.5" x14ac:dyDescent="0.35">
      <c r="A3770" s="6" t="s">
        <v>4</v>
      </c>
      <c r="B3770" s="6" t="s">
        <v>17</v>
      </c>
      <c r="C3770" s="6" t="s">
        <v>1564</v>
      </c>
      <c r="D3770" s="11" t="s">
        <v>64</v>
      </c>
      <c r="E3770" s="17" t="s">
        <v>74</v>
      </c>
      <c r="F3770" s="17" t="s">
        <v>453</v>
      </c>
      <c r="G3770" s="11" t="s">
        <v>1259</v>
      </c>
      <c r="H3770" s="11" t="s">
        <v>1565</v>
      </c>
      <c r="I3770" s="17" t="s">
        <v>296</v>
      </c>
      <c r="J3770" s="17">
        <v>16.2084771</v>
      </c>
      <c r="K3770" s="17">
        <v>-97.530336000000005</v>
      </c>
      <c r="L3770" s="17" t="str">
        <f>HYPERLINK("https://maps.google.com/?q=16.2084771,-97.530336", "🔗 Ver Mapa")</f>
        <v>🔗 Ver Mapa</v>
      </c>
    </row>
    <row r="3771" spans="1:12" ht="43.5" x14ac:dyDescent="0.35">
      <c r="A3771" s="5" t="s">
        <v>4</v>
      </c>
      <c r="B3771" s="5" t="s">
        <v>17</v>
      </c>
      <c r="C3771" s="5" t="s">
        <v>1564</v>
      </c>
      <c r="D3771" s="8" t="s">
        <v>64</v>
      </c>
      <c r="E3771" s="16" t="s">
        <v>74</v>
      </c>
      <c r="F3771" s="16" t="s">
        <v>453</v>
      </c>
      <c r="G3771" s="8" t="s">
        <v>1259</v>
      </c>
      <c r="H3771" s="8" t="s">
        <v>1565</v>
      </c>
      <c r="I3771" s="16" t="s">
        <v>296</v>
      </c>
      <c r="J3771" s="16">
        <v>16.208499100000001</v>
      </c>
      <c r="K3771" s="16">
        <v>-97.532865000000001</v>
      </c>
      <c r="L3771" s="16" t="str">
        <f>HYPERLINK("https://maps.google.com/?q=16.2084991,-97.532865", "🔗 Ver Mapa")</f>
        <v>🔗 Ver Mapa</v>
      </c>
    </row>
    <row r="3772" spans="1:12" ht="43.5" x14ac:dyDescent="0.35">
      <c r="A3772" s="6" t="s">
        <v>4</v>
      </c>
      <c r="B3772" s="6" t="s">
        <v>17</v>
      </c>
      <c r="C3772" s="6" t="s">
        <v>1564</v>
      </c>
      <c r="D3772" s="11" t="s">
        <v>64</v>
      </c>
      <c r="E3772" s="17" t="s">
        <v>74</v>
      </c>
      <c r="F3772" s="17" t="s">
        <v>453</v>
      </c>
      <c r="G3772" s="11" t="s">
        <v>1259</v>
      </c>
      <c r="H3772" s="11" t="s">
        <v>1565</v>
      </c>
      <c r="I3772" s="17" t="s">
        <v>296</v>
      </c>
      <c r="J3772" s="17">
        <v>16.2085081</v>
      </c>
      <c r="K3772" s="17">
        <v>-97.529567</v>
      </c>
      <c r="L3772" s="17" t="str">
        <f>HYPERLINK("https://maps.google.com/?q=16.2085081,-97.529567", "🔗 Ver Mapa")</f>
        <v>🔗 Ver Mapa</v>
      </c>
    </row>
    <row r="3773" spans="1:12" ht="43.5" x14ac:dyDescent="0.35">
      <c r="A3773" s="5" t="s">
        <v>4</v>
      </c>
      <c r="B3773" s="5" t="s">
        <v>17</v>
      </c>
      <c r="C3773" s="5" t="s">
        <v>1564</v>
      </c>
      <c r="D3773" s="8" t="s">
        <v>64</v>
      </c>
      <c r="E3773" s="16" t="s">
        <v>74</v>
      </c>
      <c r="F3773" s="16" t="s">
        <v>453</v>
      </c>
      <c r="G3773" s="8" t="s">
        <v>1259</v>
      </c>
      <c r="H3773" s="8" t="s">
        <v>1565</v>
      </c>
      <c r="I3773" s="16" t="s">
        <v>296</v>
      </c>
      <c r="J3773" s="16">
        <v>16.208510100000002</v>
      </c>
      <c r="K3773" s="16">
        <v>-97.528323999999998</v>
      </c>
      <c r="L3773" s="16" t="str">
        <f>HYPERLINK("https://maps.google.com/?q=16.2085101,-97.528324", "🔗 Ver Mapa")</f>
        <v>🔗 Ver Mapa</v>
      </c>
    </row>
    <row r="3774" spans="1:12" ht="43.5" x14ac:dyDescent="0.35">
      <c r="A3774" s="6" t="s">
        <v>4</v>
      </c>
      <c r="B3774" s="6" t="s">
        <v>17</v>
      </c>
      <c r="C3774" s="6" t="s">
        <v>1564</v>
      </c>
      <c r="D3774" s="11" t="s">
        <v>64</v>
      </c>
      <c r="E3774" s="17" t="s">
        <v>74</v>
      </c>
      <c r="F3774" s="17" t="s">
        <v>453</v>
      </c>
      <c r="G3774" s="11" t="s">
        <v>1259</v>
      </c>
      <c r="H3774" s="11" t="s">
        <v>1565</v>
      </c>
      <c r="I3774" s="17" t="s">
        <v>296</v>
      </c>
      <c r="J3774" s="17">
        <v>16.208518099999999</v>
      </c>
      <c r="K3774" s="17">
        <v>-97.528650999999996</v>
      </c>
      <c r="L3774" s="17" t="str">
        <f>HYPERLINK("https://maps.google.com/?q=16.2085181,-97.528651", "🔗 Ver Mapa")</f>
        <v>🔗 Ver Mapa</v>
      </c>
    </row>
    <row r="3775" spans="1:12" ht="43.5" x14ac:dyDescent="0.35">
      <c r="A3775" s="5" t="s">
        <v>4</v>
      </c>
      <c r="B3775" s="5" t="s">
        <v>17</v>
      </c>
      <c r="C3775" s="5" t="s">
        <v>1564</v>
      </c>
      <c r="D3775" s="8" t="s">
        <v>64</v>
      </c>
      <c r="E3775" s="16" t="s">
        <v>74</v>
      </c>
      <c r="F3775" s="16" t="s">
        <v>453</v>
      </c>
      <c r="G3775" s="8" t="s">
        <v>1259</v>
      </c>
      <c r="H3775" s="8" t="s">
        <v>1565</v>
      </c>
      <c r="I3775" s="16" t="s">
        <v>296</v>
      </c>
      <c r="J3775" s="16">
        <v>16.2085221</v>
      </c>
      <c r="K3775" s="16">
        <v>-97.532078999999996</v>
      </c>
      <c r="L3775" s="16" t="str">
        <f>HYPERLINK("https://maps.google.com/?q=16.2085221,-97.532079", "🔗 Ver Mapa")</f>
        <v>🔗 Ver Mapa</v>
      </c>
    </row>
    <row r="3776" spans="1:12" ht="43.5" x14ac:dyDescent="0.35">
      <c r="A3776" s="6" t="s">
        <v>4</v>
      </c>
      <c r="B3776" s="6" t="s">
        <v>17</v>
      </c>
      <c r="C3776" s="6" t="s">
        <v>1564</v>
      </c>
      <c r="D3776" s="11" t="s">
        <v>64</v>
      </c>
      <c r="E3776" s="17" t="s">
        <v>74</v>
      </c>
      <c r="F3776" s="17" t="s">
        <v>453</v>
      </c>
      <c r="G3776" s="11" t="s">
        <v>1259</v>
      </c>
      <c r="H3776" s="11" t="s">
        <v>1565</v>
      </c>
      <c r="I3776" s="17" t="s">
        <v>296</v>
      </c>
      <c r="J3776" s="17">
        <v>16.208532099999999</v>
      </c>
      <c r="K3776" s="17">
        <v>-97.529292999999996</v>
      </c>
      <c r="L3776" s="17" t="str">
        <f>HYPERLINK("https://maps.google.com/?q=16.2085321,-97.529293", "🔗 Ver Mapa")</f>
        <v>🔗 Ver Mapa</v>
      </c>
    </row>
    <row r="3777" spans="1:12" ht="43.5" x14ac:dyDescent="0.35">
      <c r="A3777" s="5" t="s">
        <v>4</v>
      </c>
      <c r="B3777" s="5" t="s">
        <v>17</v>
      </c>
      <c r="C3777" s="5" t="s">
        <v>1564</v>
      </c>
      <c r="D3777" s="8" t="s">
        <v>64</v>
      </c>
      <c r="E3777" s="16" t="s">
        <v>74</v>
      </c>
      <c r="F3777" s="16" t="s">
        <v>453</v>
      </c>
      <c r="G3777" s="8" t="s">
        <v>1259</v>
      </c>
      <c r="H3777" s="8" t="s">
        <v>1565</v>
      </c>
      <c r="I3777" s="16" t="s">
        <v>296</v>
      </c>
      <c r="J3777" s="16">
        <v>16.208569099999998</v>
      </c>
      <c r="K3777" s="16">
        <v>-97.528546000000006</v>
      </c>
      <c r="L3777" s="16" t="str">
        <f>HYPERLINK("https://maps.google.com/?q=16.2085691,-97.528546", "🔗 Ver Mapa")</f>
        <v>🔗 Ver Mapa</v>
      </c>
    </row>
    <row r="3778" spans="1:12" ht="43.5" x14ac:dyDescent="0.35">
      <c r="A3778" s="6" t="s">
        <v>4</v>
      </c>
      <c r="B3778" s="6" t="s">
        <v>17</v>
      </c>
      <c r="C3778" s="6" t="s">
        <v>1564</v>
      </c>
      <c r="D3778" s="11" t="s">
        <v>64</v>
      </c>
      <c r="E3778" s="17" t="s">
        <v>74</v>
      </c>
      <c r="F3778" s="17" t="s">
        <v>453</v>
      </c>
      <c r="G3778" s="11" t="s">
        <v>1259</v>
      </c>
      <c r="H3778" s="11" t="s">
        <v>1565</v>
      </c>
      <c r="I3778" s="17" t="s">
        <v>296</v>
      </c>
      <c r="J3778" s="17">
        <v>16.2085811</v>
      </c>
      <c r="K3778" s="17">
        <v>-97.528463000000002</v>
      </c>
      <c r="L3778" s="17" t="str">
        <f>HYPERLINK("https://maps.google.com/?q=16.2085811,-97.528463", "🔗 Ver Mapa")</f>
        <v>🔗 Ver Mapa</v>
      </c>
    </row>
    <row r="3779" spans="1:12" ht="43.5" x14ac:dyDescent="0.35">
      <c r="A3779" s="5" t="s">
        <v>4</v>
      </c>
      <c r="B3779" s="5" t="s">
        <v>17</v>
      </c>
      <c r="C3779" s="5" t="s">
        <v>1564</v>
      </c>
      <c r="D3779" s="8" t="s">
        <v>64</v>
      </c>
      <c r="E3779" s="16" t="s">
        <v>74</v>
      </c>
      <c r="F3779" s="16" t="s">
        <v>453</v>
      </c>
      <c r="G3779" s="8" t="s">
        <v>1259</v>
      </c>
      <c r="H3779" s="8" t="s">
        <v>1565</v>
      </c>
      <c r="I3779" s="16" t="s">
        <v>296</v>
      </c>
      <c r="J3779" s="16">
        <v>16.2085881</v>
      </c>
      <c r="K3779" s="16">
        <v>-97.529398</v>
      </c>
      <c r="L3779" s="16" t="str">
        <f>HYPERLINK("https://maps.google.com/?q=16.2085881,-97.529398", "🔗 Ver Mapa")</f>
        <v>🔗 Ver Mapa</v>
      </c>
    </row>
    <row r="3780" spans="1:12" ht="43.5" x14ac:dyDescent="0.35">
      <c r="A3780" s="6" t="s">
        <v>4</v>
      </c>
      <c r="B3780" s="6" t="s">
        <v>17</v>
      </c>
      <c r="C3780" s="6" t="s">
        <v>1564</v>
      </c>
      <c r="D3780" s="11" t="s">
        <v>64</v>
      </c>
      <c r="E3780" s="17" t="s">
        <v>74</v>
      </c>
      <c r="F3780" s="17" t="s">
        <v>453</v>
      </c>
      <c r="G3780" s="11" t="s">
        <v>1259</v>
      </c>
      <c r="H3780" s="11" t="s">
        <v>1565</v>
      </c>
      <c r="I3780" s="17" t="s">
        <v>296</v>
      </c>
      <c r="J3780" s="17">
        <v>16.208625099999999</v>
      </c>
      <c r="K3780" s="17">
        <v>-97.529680999999997</v>
      </c>
      <c r="L3780" s="17" t="str">
        <f>HYPERLINK("https://maps.google.com/?q=16.2086251,-97.529681", "🔗 Ver Mapa")</f>
        <v>🔗 Ver Mapa</v>
      </c>
    </row>
    <row r="3781" spans="1:12" ht="43.5" x14ac:dyDescent="0.35">
      <c r="A3781" s="5" t="s">
        <v>4</v>
      </c>
      <c r="B3781" s="5" t="s">
        <v>17</v>
      </c>
      <c r="C3781" s="5" t="s">
        <v>1564</v>
      </c>
      <c r="D3781" s="8" t="s">
        <v>64</v>
      </c>
      <c r="E3781" s="16" t="s">
        <v>74</v>
      </c>
      <c r="F3781" s="16" t="s">
        <v>453</v>
      </c>
      <c r="G3781" s="8" t="s">
        <v>1259</v>
      </c>
      <c r="H3781" s="8" t="s">
        <v>1565</v>
      </c>
      <c r="I3781" s="16" t="s">
        <v>296</v>
      </c>
      <c r="J3781" s="16">
        <v>16.208635099999999</v>
      </c>
      <c r="K3781" s="16">
        <v>-97.531918000000005</v>
      </c>
      <c r="L3781" s="16" t="str">
        <f>HYPERLINK("https://maps.google.com/?q=16.2086351,-97.531918", "🔗 Ver Mapa")</f>
        <v>🔗 Ver Mapa</v>
      </c>
    </row>
    <row r="3782" spans="1:12" ht="43.5" x14ac:dyDescent="0.35">
      <c r="A3782" s="6" t="s">
        <v>4</v>
      </c>
      <c r="B3782" s="6" t="s">
        <v>17</v>
      </c>
      <c r="C3782" s="6" t="s">
        <v>1564</v>
      </c>
      <c r="D3782" s="11" t="s">
        <v>64</v>
      </c>
      <c r="E3782" s="17" t="s">
        <v>74</v>
      </c>
      <c r="F3782" s="17" t="s">
        <v>453</v>
      </c>
      <c r="G3782" s="11" t="s">
        <v>1259</v>
      </c>
      <c r="H3782" s="11" t="s">
        <v>1565</v>
      </c>
      <c r="I3782" s="17" t="s">
        <v>296</v>
      </c>
      <c r="J3782" s="17">
        <v>16.208662100000002</v>
      </c>
      <c r="K3782" s="17">
        <v>-97.530178000000006</v>
      </c>
      <c r="L3782" s="17" t="str">
        <f>HYPERLINK("https://maps.google.com/?q=16.2086621,-97.530178", "🔗 Ver Mapa")</f>
        <v>🔗 Ver Mapa</v>
      </c>
    </row>
    <row r="3783" spans="1:12" ht="43.5" x14ac:dyDescent="0.35">
      <c r="A3783" s="5" t="s">
        <v>4</v>
      </c>
      <c r="B3783" s="5" t="s">
        <v>17</v>
      </c>
      <c r="C3783" s="5" t="s">
        <v>1564</v>
      </c>
      <c r="D3783" s="8" t="s">
        <v>64</v>
      </c>
      <c r="E3783" s="16" t="s">
        <v>74</v>
      </c>
      <c r="F3783" s="16" t="s">
        <v>453</v>
      </c>
      <c r="G3783" s="8" t="s">
        <v>1259</v>
      </c>
      <c r="H3783" s="8" t="s">
        <v>1565</v>
      </c>
      <c r="I3783" s="16" t="s">
        <v>296</v>
      </c>
      <c r="J3783" s="16">
        <v>16.208686100000001</v>
      </c>
      <c r="K3783" s="16">
        <v>-97.529516999999998</v>
      </c>
      <c r="L3783" s="16" t="str">
        <f>HYPERLINK("https://maps.google.com/?q=16.2086861,-97.529517", "🔗 Ver Mapa")</f>
        <v>🔗 Ver Mapa</v>
      </c>
    </row>
    <row r="3784" spans="1:12" ht="43.5" x14ac:dyDescent="0.35">
      <c r="A3784" s="6" t="s">
        <v>4</v>
      </c>
      <c r="B3784" s="6" t="s">
        <v>17</v>
      </c>
      <c r="C3784" s="6" t="s">
        <v>1564</v>
      </c>
      <c r="D3784" s="11" t="s">
        <v>64</v>
      </c>
      <c r="E3784" s="17" t="s">
        <v>74</v>
      </c>
      <c r="F3784" s="17" t="s">
        <v>453</v>
      </c>
      <c r="G3784" s="11" t="s">
        <v>1259</v>
      </c>
      <c r="H3784" s="11" t="s">
        <v>1565</v>
      </c>
      <c r="I3784" s="17" t="s">
        <v>296</v>
      </c>
      <c r="J3784" s="17">
        <v>16.208725099999999</v>
      </c>
      <c r="K3784" s="17">
        <v>-97.529280999999997</v>
      </c>
      <c r="L3784" s="17" t="str">
        <f>HYPERLINK("https://maps.google.com/?q=16.2087251,-97.529281", "🔗 Ver Mapa")</f>
        <v>🔗 Ver Mapa</v>
      </c>
    </row>
    <row r="3785" spans="1:12" ht="43.5" x14ac:dyDescent="0.35">
      <c r="A3785" s="5" t="s">
        <v>4</v>
      </c>
      <c r="B3785" s="5" t="s">
        <v>17</v>
      </c>
      <c r="C3785" s="5" t="s">
        <v>1564</v>
      </c>
      <c r="D3785" s="8" t="s">
        <v>64</v>
      </c>
      <c r="E3785" s="16" t="s">
        <v>74</v>
      </c>
      <c r="F3785" s="16" t="s">
        <v>453</v>
      </c>
      <c r="G3785" s="8" t="s">
        <v>1259</v>
      </c>
      <c r="H3785" s="8" t="s">
        <v>1565</v>
      </c>
      <c r="I3785" s="16" t="s">
        <v>296</v>
      </c>
      <c r="J3785" s="16">
        <v>16.208769</v>
      </c>
      <c r="K3785" s="16">
        <v>-97.528417000000005</v>
      </c>
      <c r="L3785" s="16" t="str">
        <f>HYPERLINK("https://maps.google.com/?q=16.208769,-97.528417", "🔗 Ver Mapa")</f>
        <v>🔗 Ver Mapa</v>
      </c>
    </row>
    <row r="3786" spans="1:12" ht="43.5" x14ac:dyDescent="0.35">
      <c r="A3786" s="6" t="s">
        <v>4</v>
      </c>
      <c r="B3786" s="6" t="s">
        <v>17</v>
      </c>
      <c r="C3786" s="6" t="s">
        <v>1564</v>
      </c>
      <c r="D3786" s="11" t="s">
        <v>64</v>
      </c>
      <c r="E3786" s="17" t="s">
        <v>74</v>
      </c>
      <c r="F3786" s="17" t="s">
        <v>453</v>
      </c>
      <c r="G3786" s="11" t="s">
        <v>1259</v>
      </c>
      <c r="H3786" s="11" t="s">
        <v>1565</v>
      </c>
      <c r="I3786" s="17" t="s">
        <v>296</v>
      </c>
      <c r="J3786" s="17">
        <v>16.208774999999999</v>
      </c>
      <c r="K3786" s="17">
        <v>-97.531739000000002</v>
      </c>
      <c r="L3786" s="17" t="str">
        <f>HYPERLINK("https://maps.google.com/?q=16.208775,-97.531739", "🔗 Ver Mapa")</f>
        <v>🔗 Ver Mapa</v>
      </c>
    </row>
    <row r="3787" spans="1:12" ht="43.5" x14ac:dyDescent="0.35">
      <c r="A3787" s="5" t="s">
        <v>4</v>
      </c>
      <c r="B3787" s="5" t="s">
        <v>17</v>
      </c>
      <c r="C3787" s="5" t="s">
        <v>1564</v>
      </c>
      <c r="D3787" s="8" t="s">
        <v>64</v>
      </c>
      <c r="E3787" s="16" t="s">
        <v>74</v>
      </c>
      <c r="F3787" s="16" t="s">
        <v>453</v>
      </c>
      <c r="G3787" s="8" t="s">
        <v>1259</v>
      </c>
      <c r="H3787" s="8" t="s">
        <v>1565</v>
      </c>
      <c r="I3787" s="16" t="s">
        <v>296</v>
      </c>
      <c r="J3787" s="16">
        <v>16.208821100000002</v>
      </c>
      <c r="K3787" s="16">
        <v>-97.529724999999999</v>
      </c>
      <c r="L3787" s="16" t="str">
        <f>HYPERLINK("https://maps.google.com/?q=16.2088211,-97.529725", "🔗 Ver Mapa")</f>
        <v>🔗 Ver Mapa</v>
      </c>
    </row>
    <row r="3788" spans="1:12" ht="43.5" x14ac:dyDescent="0.35">
      <c r="A3788" s="6" t="s">
        <v>4</v>
      </c>
      <c r="B3788" s="6" t="s">
        <v>17</v>
      </c>
      <c r="C3788" s="6" t="s">
        <v>1564</v>
      </c>
      <c r="D3788" s="11" t="s">
        <v>64</v>
      </c>
      <c r="E3788" s="17" t="s">
        <v>74</v>
      </c>
      <c r="F3788" s="17" t="s">
        <v>453</v>
      </c>
      <c r="G3788" s="11" t="s">
        <v>1259</v>
      </c>
      <c r="H3788" s="11" t="s">
        <v>1565</v>
      </c>
      <c r="I3788" s="17" t="s">
        <v>296</v>
      </c>
      <c r="J3788" s="17">
        <v>16.2088331</v>
      </c>
      <c r="K3788" s="17">
        <v>-97.531651100000005</v>
      </c>
      <c r="L3788" s="17" t="str">
        <f>HYPERLINK("https://maps.google.com/?q=16.2088331,-97.5316511", "🔗 Ver Mapa")</f>
        <v>🔗 Ver Mapa</v>
      </c>
    </row>
    <row r="3789" spans="1:12" ht="43.5" x14ac:dyDescent="0.35">
      <c r="A3789" s="5" t="s">
        <v>4</v>
      </c>
      <c r="B3789" s="5" t="s">
        <v>17</v>
      </c>
      <c r="C3789" s="5" t="s">
        <v>1564</v>
      </c>
      <c r="D3789" s="8" t="s">
        <v>64</v>
      </c>
      <c r="E3789" s="16" t="s">
        <v>74</v>
      </c>
      <c r="F3789" s="16" t="s">
        <v>453</v>
      </c>
      <c r="G3789" s="8" t="s">
        <v>1259</v>
      </c>
      <c r="H3789" s="8" t="s">
        <v>1565</v>
      </c>
      <c r="I3789" s="16" t="s">
        <v>296</v>
      </c>
      <c r="J3789" s="16">
        <v>16.208863099999999</v>
      </c>
      <c r="K3789" s="16">
        <v>-97.528455100000002</v>
      </c>
      <c r="L3789" s="16" t="str">
        <f>HYPERLINK("https://maps.google.com/?q=16.2088631,-97.5284551", "🔗 Ver Mapa")</f>
        <v>🔗 Ver Mapa</v>
      </c>
    </row>
    <row r="3790" spans="1:12" ht="43.5" x14ac:dyDescent="0.35">
      <c r="A3790" s="6" t="s">
        <v>4</v>
      </c>
      <c r="B3790" s="6" t="s">
        <v>17</v>
      </c>
      <c r="C3790" s="6" t="s">
        <v>1564</v>
      </c>
      <c r="D3790" s="11" t="s">
        <v>64</v>
      </c>
      <c r="E3790" s="17" t="s">
        <v>74</v>
      </c>
      <c r="F3790" s="17" t="s">
        <v>453</v>
      </c>
      <c r="G3790" s="11" t="s">
        <v>1259</v>
      </c>
      <c r="H3790" s="11" t="s">
        <v>1565</v>
      </c>
      <c r="I3790" s="17" t="s">
        <v>296</v>
      </c>
      <c r="J3790" s="17">
        <v>16.208870099999999</v>
      </c>
      <c r="K3790" s="17">
        <v>-97.529296000000002</v>
      </c>
      <c r="L3790" s="17" t="str">
        <f>HYPERLINK("https://maps.google.com/?q=16.2088701,-97.529296", "🔗 Ver Mapa")</f>
        <v>🔗 Ver Mapa</v>
      </c>
    </row>
    <row r="3791" spans="1:12" ht="43.5" x14ac:dyDescent="0.35">
      <c r="A3791" s="5" t="s">
        <v>4</v>
      </c>
      <c r="B3791" s="5" t="s">
        <v>17</v>
      </c>
      <c r="C3791" s="5" t="s">
        <v>1564</v>
      </c>
      <c r="D3791" s="8" t="s">
        <v>64</v>
      </c>
      <c r="E3791" s="16" t="s">
        <v>74</v>
      </c>
      <c r="F3791" s="16" t="s">
        <v>453</v>
      </c>
      <c r="G3791" s="8" t="s">
        <v>1259</v>
      </c>
      <c r="H3791" s="8" t="s">
        <v>1565</v>
      </c>
      <c r="I3791" s="16" t="s">
        <v>296</v>
      </c>
      <c r="J3791" s="16">
        <v>16.2088821</v>
      </c>
      <c r="K3791" s="16">
        <v>-97.531368099999995</v>
      </c>
      <c r="L3791" s="16" t="str">
        <f>HYPERLINK("https://maps.google.com/?q=16.2088821,-97.5313681", "🔗 Ver Mapa")</f>
        <v>🔗 Ver Mapa</v>
      </c>
    </row>
    <row r="3792" spans="1:12" ht="43.5" x14ac:dyDescent="0.35">
      <c r="A3792" s="6" t="s">
        <v>4</v>
      </c>
      <c r="B3792" s="6" t="s">
        <v>17</v>
      </c>
      <c r="C3792" s="6" t="s">
        <v>1564</v>
      </c>
      <c r="D3792" s="11" t="s">
        <v>64</v>
      </c>
      <c r="E3792" s="17" t="s">
        <v>74</v>
      </c>
      <c r="F3792" s="17" t="s">
        <v>453</v>
      </c>
      <c r="G3792" s="11" t="s">
        <v>1259</v>
      </c>
      <c r="H3792" s="11" t="s">
        <v>1565</v>
      </c>
      <c r="I3792" s="17" t="s">
        <v>296</v>
      </c>
      <c r="J3792" s="17">
        <v>16.208883100000001</v>
      </c>
      <c r="K3792" s="17">
        <v>-97.529841099999999</v>
      </c>
      <c r="L3792" s="17" t="str">
        <f>HYPERLINK("https://maps.google.com/?q=16.2088831,-97.5298411", "🔗 Ver Mapa")</f>
        <v>🔗 Ver Mapa</v>
      </c>
    </row>
    <row r="3793" spans="1:12" ht="43.5" x14ac:dyDescent="0.35">
      <c r="A3793" s="5" t="s">
        <v>4</v>
      </c>
      <c r="B3793" s="5" t="s">
        <v>17</v>
      </c>
      <c r="C3793" s="5" t="s">
        <v>1564</v>
      </c>
      <c r="D3793" s="8" t="s">
        <v>64</v>
      </c>
      <c r="E3793" s="16" t="s">
        <v>74</v>
      </c>
      <c r="F3793" s="16" t="s">
        <v>453</v>
      </c>
      <c r="G3793" s="8" t="s">
        <v>1259</v>
      </c>
      <c r="H3793" s="8" t="s">
        <v>1565</v>
      </c>
      <c r="I3793" s="16" t="s">
        <v>296</v>
      </c>
      <c r="J3793" s="16">
        <v>16.2089201</v>
      </c>
      <c r="K3793" s="16">
        <v>-97.529864000000003</v>
      </c>
      <c r="L3793" s="16" t="str">
        <f>HYPERLINK("https://maps.google.com/?q=16.2089201,-97.529864", "🔗 Ver Mapa")</f>
        <v>🔗 Ver Mapa</v>
      </c>
    </row>
    <row r="3794" spans="1:12" ht="43.5" x14ac:dyDescent="0.35">
      <c r="A3794" s="6" t="s">
        <v>4</v>
      </c>
      <c r="B3794" s="6" t="s">
        <v>17</v>
      </c>
      <c r="C3794" s="6" t="s">
        <v>1564</v>
      </c>
      <c r="D3794" s="11" t="s">
        <v>64</v>
      </c>
      <c r="E3794" s="17" t="s">
        <v>74</v>
      </c>
      <c r="F3794" s="17" t="s">
        <v>453</v>
      </c>
      <c r="G3794" s="11" t="s">
        <v>1259</v>
      </c>
      <c r="H3794" s="11" t="s">
        <v>1565</v>
      </c>
      <c r="I3794" s="17" t="s">
        <v>296</v>
      </c>
      <c r="J3794" s="17">
        <v>16.208935100000001</v>
      </c>
      <c r="K3794" s="17">
        <v>-97.531063000000003</v>
      </c>
      <c r="L3794" s="17" t="str">
        <f>HYPERLINK("https://maps.google.com/?q=16.2089351,-97.531063", "🔗 Ver Mapa")</f>
        <v>🔗 Ver Mapa</v>
      </c>
    </row>
    <row r="3795" spans="1:12" ht="43.5" x14ac:dyDescent="0.35">
      <c r="A3795" s="5" t="s">
        <v>4</v>
      </c>
      <c r="B3795" s="5" t="s">
        <v>17</v>
      </c>
      <c r="C3795" s="5" t="s">
        <v>1564</v>
      </c>
      <c r="D3795" s="8" t="s">
        <v>64</v>
      </c>
      <c r="E3795" s="16" t="s">
        <v>74</v>
      </c>
      <c r="F3795" s="16" t="s">
        <v>453</v>
      </c>
      <c r="G3795" s="8" t="s">
        <v>1259</v>
      </c>
      <c r="H3795" s="8" t="s">
        <v>1565</v>
      </c>
      <c r="I3795" s="16" t="s">
        <v>296</v>
      </c>
      <c r="J3795" s="16">
        <v>16.208952499999999</v>
      </c>
      <c r="K3795" s="16">
        <v>-97.531856399999995</v>
      </c>
      <c r="L3795" s="16" t="str">
        <f>HYPERLINK("https://maps.google.com/?q=16.2089525,-97.5318564", "🔗 Ver Mapa")</f>
        <v>🔗 Ver Mapa</v>
      </c>
    </row>
    <row r="3796" spans="1:12" ht="43.5" x14ac:dyDescent="0.35">
      <c r="A3796" s="6" t="s">
        <v>4</v>
      </c>
      <c r="B3796" s="6" t="s">
        <v>17</v>
      </c>
      <c r="C3796" s="6" t="s">
        <v>1564</v>
      </c>
      <c r="D3796" s="11" t="s">
        <v>64</v>
      </c>
      <c r="E3796" s="17" t="s">
        <v>74</v>
      </c>
      <c r="F3796" s="17" t="s">
        <v>453</v>
      </c>
      <c r="G3796" s="11" t="s">
        <v>1259</v>
      </c>
      <c r="H3796" s="11" t="s">
        <v>1565</v>
      </c>
      <c r="I3796" s="17" t="s">
        <v>296</v>
      </c>
      <c r="J3796" s="17">
        <v>16.2089611</v>
      </c>
      <c r="K3796" s="17">
        <v>-97.528482999999994</v>
      </c>
      <c r="L3796" s="17" t="str">
        <f>HYPERLINK("https://maps.google.com/?q=16.2089611,-97.528483", "🔗 Ver Mapa")</f>
        <v>🔗 Ver Mapa</v>
      </c>
    </row>
    <row r="3797" spans="1:12" ht="43.5" x14ac:dyDescent="0.35">
      <c r="A3797" s="5" t="s">
        <v>4</v>
      </c>
      <c r="B3797" s="5" t="s">
        <v>17</v>
      </c>
      <c r="C3797" s="5" t="s">
        <v>1564</v>
      </c>
      <c r="D3797" s="8" t="s">
        <v>64</v>
      </c>
      <c r="E3797" s="16" t="s">
        <v>74</v>
      </c>
      <c r="F3797" s="16" t="s">
        <v>453</v>
      </c>
      <c r="G3797" s="8" t="s">
        <v>1259</v>
      </c>
      <c r="H3797" s="8" t="s">
        <v>1565</v>
      </c>
      <c r="I3797" s="16" t="s">
        <v>296</v>
      </c>
      <c r="J3797" s="16">
        <v>16.208966100000001</v>
      </c>
      <c r="K3797" s="16">
        <v>-97.529150999999999</v>
      </c>
      <c r="L3797" s="16" t="str">
        <f>HYPERLINK("https://maps.google.com/?q=16.2089661,-97.529151", "🔗 Ver Mapa")</f>
        <v>🔗 Ver Mapa</v>
      </c>
    </row>
    <row r="3798" spans="1:12" ht="43.5" x14ac:dyDescent="0.35">
      <c r="A3798" s="6" t="s">
        <v>4</v>
      </c>
      <c r="B3798" s="6" t="s">
        <v>17</v>
      </c>
      <c r="C3798" s="6" t="s">
        <v>1564</v>
      </c>
      <c r="D3798" s="11" t="s">
        <v>64</v>
      </c>
      <c r="E3798" s="17" t="s">
        <v>74</v>
      </c>
      <c r="F3798" s="17" t="s">
        <v>453</v>
      </c>
      <c r="G3798" s="11" t="s">
        <v>1259</v>
      </c>
      <c r="H3798" s="11" t="s">
        <v>1565</v>
      </c>
      <c r="I3798" s="17" t="s">
        <v>296</v>
      </c>
      <c r="J3798" s="17">
        <v>16.2089751</v>
      </c>
      <c r="K3798" s="17">
        <v>-97.530814000000007</v>
      </c>
      <c r="L3798" s="17" t="str">
        <f>HYPERLINK("https://maps.google.com/?q=16.2089751,-97.530814", "🔗 Ver Mapa")</f>
        <v>🔗 Ver Mapa</v>
      </c>
    </row>
    <row r="3799" spans="1:12" ht="43.5" x14ac:dyDescent="0.35">
      <c r="A3799" s="5" t="s">
        <v>4</v>
      </c>
      <c r="B3799" s="5" t="s">
        <v>17</v>
      </c>
      <c r="C3799" s="5" t="s">
        <v>1564</v>
      </c>
      <c r="D3799" s="8" t="s">
        <v>64</v>
      </c>
      <c r="E3799" s="16" t="s">
        <v>74</v>
      </c>
      <c r="F3799" s="16" t="s">
        <v>453</v>
      </c>
      <c r="G3799" s="8" t="s">
        <v>1259</v>
      </c>
      <c r="H3799" s="8" t="s">
        <v>1565</v>
      </c>
      <c r="I3799" s="16" t="s">
        <v>296</v>
      </c>
      <c r="J3799" s="16">
        <v>16.2089955</v>
      </c>
      <c r="K3799" s="16">
        <v>-97.530517500000002</v>
      </c>
      <c r="L3799" s="16" t="str">
        <f>HYPERLINK("https://maps.google.com/?q=16.2089955,-97.5305175", "🔗 Ver Mapa")</f>
        <v>🔗 Ver Mapa</v>
      </c>
    </row>
    <row r="3800" spans="1:12" ht="43.5" x14ac:dyDescent="0.35">
      <c r="A3800" s="6" t="s">
        <v>4</v>
      </c>
      <c r="B3800" s="6" t="s">
        <v>17</v>
      </c>
      <c r="C3800" s="6" t="s">
        <v>1564</v>
      </c>
      <c r="D3800" s="11" t="s">
        <v>64</v>
      </c>
      <c r="E3800" s="17" t="s">
        <v>74</v>
      </c>
      <c r="F3800" s="17" t="s">
        <v>453</v>
      </c>
      <c r="G3800" s="11" t="s">
        <v>1259</v>
      </c>
      <c r="H3800" s="11" t="s">
        <v>1565</v>
      </c>
      <c r="I3800" s="17" t="s">
        <v>296</v>
      </c>
      <c r="J3800" s="17">
        <v>16.209007100000001</v>
      </c>
      <c r="K3800" s="17">
        <v>-97.529894999999996</v>
      </c>
      <c r="L3800" s="17" t="str">
        <f>HYPERLINK("https://maps.google.com/?q=16.2090071,-97.529895", "🔗 Ver Mapa")</f>
        <v>🔗 Ver Mapa</v>
      </c>
    </row>
    <row r="3801" spans="1:12" ht="43.5" x14ac:dyDescent="0.35">
      <c r="A3801" s="5" t="s">
        <v>4</v>
      </c>
      <c r="B3801" s="5" t="s">
        <v>17</v>
      </c>
      <c r="C3801" s="5" t="s">
        <v>1564</v>
      </c>
      <c r="D3801" s="8" t="s">
        <v>64</v>
      </c>
      <c r="E3801" s="16" t="s">
        <v>74</v>
      </c>
      <c r="F3801" s="16" t="s">
        <v>453</v>
      </c>
      <c r="G3801" s="8" t="s">
        <v>1259</v>
      </c>
      <c r="H3801" s="8" t="s">
        <v>1565</v>
      </c>
      <c r="I3801" s="16" t="s">
        <v>296</v>
      </c>
      <c r="J3801" s="16">
        <v>16.209015099999998</v>
      </c>
      <c r="K3801" s="16">
        <v>-97.530232999999996</v>
      </c>
      <c r="L3801" s="16" t="str">
        <f>HYPERLINK("https://maps.google.com/?q=16.2090151,-97.530233", "🔗 Ver Mapa")</f>
        <v>🔗 Ver Mapa</v>
      </c>
    </row>
    <row r="3802" spans="1:12" ht="43.5" x14ac:dyDescent="0.35">
      <c r="A3802" s="6" t="s">
        <v>4</v>
      </c>
      <c r="B3802" s="6" t="s">
        <v>17</v>
      </c>
      <c r="C3802" s="6" t="s">
        <v>1564</v>
      </c>
      <c r="D3802" s="11" t="s">
        <v>64</v>
      </c>
      <c r="E3802" s="17" t="s">
        <v>74</v>
      </c>
      <c r="F3802" s="17" t="s">
        <v>453</v>
      </c>
      <c r="G3802" s="11" t="s">
        <v>1259</v>
      </c>
      <c r="H3802" s="11" t="s">
        <v>1565</v>
      </c>
      <c r="I3802" s="17" t="s">
        <v>296</v>
      </c>
      <c r="J3802" s="17">
        <v>16.209019099999999</v>
      </c>
      <c r="K3802" s="17">
        <v>-97.530015000000006</v>
      </c>
      <c r="L3802" s="17" t="str">
        <f>HYPERLINK("https://maps.google.com/?q=16.2090191,-97.530015", "🔗 Ver Mapa")</f>
        <v>🔗 Ver Mapa</v>
      </c>
    </row>
    <row r="3803" spans="1:12" ht="43.5" x14ac:dyDescent="0.35">
      <c r="A3803" s="5" t="s">
        <v>4</v>
      </c>
      <c r="B3803" s="5" t="s">
        <v>17</v>
      </c>
      <c r="C3803" s="5" t="s">
        <v>1564</v>
      </c>
      <c r="D3803" s="8" t="s">
        <v>64</v>
      </c>
      <c r="E3803" s="16" t="s">
        <v>74</v>
      </c>
      <c r="F3803" s="16" t="s">
        <v>453</v>
      </c>
      <c r="G3803" s="8" t="s">
        <v>1259</v>
      </c>
      <c r="H3803" s="8" t="s">
        <v>1565</v>
      </c>
      <c r="I3803" s="16" t="s">
        <v>296</v>
      </c>
      <c r="J3803" s="16">
        <v>16.209046099999998</v>
      </c>
      <c r="K3803" s="16">
        <v>-97.528518000000005</v>
      </c>
      <c r="L3803" s="16" t="str">
        <f>HYPERLINK("https://maps.google.com/?q=16.2090461,-97.528518", "🔗 Ver Mapa")</f>
        <v>🔗 Ver Mapa</v>
      </c>
    </row>
    <row r="3804" spans="1:12" ht="43.5" x14ac:dyDescent="0.35">
      <c r="A3804" s="6" t="s">
        <v>4</v>
      </c>
      <c r="B3804" s="6" t="s">
        <v>17</v>
      </c>
      <c r="C3804" s="6" t="s">
        <v>1564</v>
      </c>
      <c r="D3804" s="11" t="s">
        <v>64</v>
      </c>
      <c r="E3804" s="17" t="s">
        <v>74</v>
      </c>
      <c r="F3804" s="17" t="s">
        <v>453</v>
      </c>
      <c r="G3804" s="11" t="s">
        <v>1259</v>
      </c>
      <c r="H3804" s="11" t="s">
        <v>1565</v>
      </c>
      <c r="I3804" s="17" t="s">
        <v>296</v>
      </c>
      <c r="J3804" s="17">
        <v>16.209063100000002</v>
      </c>
      <c r="K3804" s="17">
        <v>-97.528979000000007</v>
      </c>
      <c r="L3804" s="17" t="str">
        <f>HYPERLINK("https://maps.google.com/?q=16.2090631,-97.528979", "🔗 Ver Mapa")</f>
        <v>🔗 Ver Mapa</v>
      </c>
    </row>
    <row r="3805" spans="1:12" ht="43.5" x14ac:dyDescent="0.35">
      <c r="A3805" s="5" t="s">
        <v>4</v>
      </c>
      <c r="B3805" s="5" t="s">
        <v>17</v>
      </c>
      <c r="C3805" s="5" t="s">
        <v>1564</v>
      </c>
      <c r="D3805" s="8" t="s">
        <v>64</v>
      </c>
      <c r="E3805" s="16" t="s">
        <v>74</v>
      </c>
      <c r="F3805" s="16" t="s">
        <v>453</v>
      </c>
      <c r="G3805" s="8" t="s">
        <v>1259</v>
      </c>
      <c r="H3805" s="8" t="s">
        <v>1565</v>
      </c>
      <c r="I3805" s="16" t="s">
        <v>296</v>
      </c>
      <c r="J3805" s="16">
        <v>16.209112099999999</v>
      </c>
      <c r="K3805" s="16">
        <v>-97.531961999999993</v>
      </c>
      <c r="L3805" s="16" t="str">
        <f>HYPERLINK("https://maps.google.com/?q=16.2091121,-97.531962", "🔗 Ver Mapa")</f>
        <v>🔗 Ver Mapa</v>
      </c>
    </row>
    <row r="3806" spans="1:12" ht="43.5" x14ac:dyDescent="0.35">
      <c r="A3806" s="6" t="s">
        <v>4</v>
      </c>
      <c r="B3806" s="6" t="s">
        <v>17</v>
      </c>
      <c r="C3806" s="6" t="s">
        <v>1564</v>
      </c>
      <c r="D3806" s="11" t="s">
        <v>64</v>
      </c>
      <c r="E3806" s="17" t="s">
        <v>74</v>
      </c>
      <c r="F3806" s="17" t="s">
        <v>453</v>
      </c>
      <c r="G3806" s="11" t="s">
        <v>1259</v>
      </c>
      <c r="H3806" s="11" t="s">
        <v>1565</v>
      </c>
      <c r="I3806" s="17" t="s">
        <v>296</v>
      </c>
      <c r="J3806" s="17">
        <v>16.2091311</v>
      </c>
      <c r="K3806" s="17">
        <v>-97.528716000000003</v>
      </c>
      <c r="L3806" s="17" t="str">
        <f>HYPERLINK("https://maps.google.com/?q=16.2091311,-97.528716", "🔗 Ver Mapa")</f>
        <v>🔗 Ver Mapa</v>
      </c>
    </row>
    <row r="3807" spans="1:12" ht="43.5" x14ac:dyDescent="0.35">
      <c r="A3807" s="5" t="s">
        <v>4</v>
      </c>
      <c r="B3807" s="5" t="s">
        <v>17</v>
      </c>
      <c r="C3807" s="5" t="s">
        <v>1564</v>
      </c>
      <c r="D3807" s="8" t="s">
        <v>64</v>
      </c>
      <c r="E3807" s="16" t="s">
        <v>74</v>
      </c>
      <c r="F3807" s="16" t="s">
        <v>453</v>
      </c>
      <c r="G3807" s="8" t="s">
        <v>1259</v>
      </c>
      <c r="H3807" s="8" t="s">
        <v>1565</v>
      </c>
      <c r="I3807" s="16" t="s">
        <v>296</v>
      </c>
      <c r="J3807" s="16">
        <v>16.209164099999999</v>
      </c>
      <c r="K3807" s="16">
        <v>-97.529937000000004</v>
      </c>
      <c r="L3807" s="16" t="str">
        <f>HYPERLINK("https://maps.google.com/?q=16.2091641,-97.529937", "🔗 Ver Mapa")</f>
        <v>🔗 Ver Mapa</v>
      </c>
    </row>
    <row r="3808" spans="1:12" ht="43.5" x14ac:dyDescent="0.35">
      <c r="A3808" s="6" t="s">
        <v>4</v>
      </c>
      <c r="B3808" s="6" t="s">
        <v>17</v>
      </c>
      <c r="C3808" s="6" t="s">
        <v>1564</v>
      </c>
      <c r="D3808" s="11" t="s">
        <v>64</v>
      </c>
      <c r="E3808" s="17" t="s">
        <v>74</v>
      </c>
      <c r="F3808" s="17" t="s">
        <v>453</v>
      </c>
      <c r="G3808" s="11" t="s">
        <v>1259</v>
      </c>
      <c r="H3808" s="11" t="s">
        <v>1565</v>
      </c>
      <c r="I3808" s="17" t="s">
        <v>296</v>
      </c>
      <c r="J3808" s="17">
        <v>16.209175999999999</v>
      </c>
      <c r="K3808" s="17">
        <v>-97.528616999999997</v>
      </c>
      <c r="L3808" s="17" t="str">
        <f>HYPERLINK("https://maps.google.com/?q=16.209176,-97.528617", "🔗 Ver Mapa")</f>
        <v>🔗 Ver Mapa</v>
      </c>
    </row>
    <row r="3809" spans="1:12" ht="43.5" x14ac:dyDescent="0.35">
      <c r="A3809" s="5" t="s">
        <v>4</v>
      </c>
      <c r="B3809" s="5" t="s">
        <v>17</v>
      </c>
      <c r="C3809" s="5" t="s">
        <v>1564</v>
      </c>
      <c r="D3809" s="8" t="s">
        <v>64</v>
      </c>
      <c r="E3809" s="16" t="s">
        <v>74</v>
      </c>
      <c r="F3809" s="16" t="s">
        <v>453</v>
      </c>
      <c r="G3809" s="8" t="s">
        <v>1259</v>
      </c>
      <c r="H3809" s="8" t="s">
        <v>1565</v>
      </c>
      <c r="I3809" s="16" t="s">
        <v>296</v>
      </c>
      <c r="J3809" s="16">
        <v>16.2092651</v>
      </c>
      <c r="K3809" s="16">
        <v>-97.5299105</v>
      </c>
      <c r="L3809" s="16" t="str">
        <f>HYPERLINK("https://maps.google.com/?q=16.2092651,-97.5299105", "🔗 Ver Mapa")</f>
        <v>🔗 Ver Mapa</v>
      </c>
    </row>
    <row r="3810" spans="1:12" ht="43.5" x14ac:dyDescent="0.35">
      <c r="A3810" s="6" t="s">
        <v>4</v>
      </c>
      <c r="B3810" s="6" t="s">
        <v>17</v>
      </c>
      <c r="C3810" s="6" t="s">
        <v>1564</v>
      </c>
      <c r="D3810" s="11" t="s">
        <v>64</v>
      </c>
      <c r="E3810" s="17" t="s">
        <v>74</v>
      </c>
      <c r="F3810" s="17" t="s">
        <v>453</v>
      </c>
      <c r="G3810" s="11" t="s">
        <v>1259</v>
      </c>
      <c r="H3810" s="11" t="s">
        <v>1565</v>
      </c>
      <c r="I3810" s="17" t="s">
        <v>296</v>
      </c>
      <c r="J3810" s="17">
        <v>16.209305100000002</v>
      </c>
      <c r="K3810" s="17">
        <v>-97.532069000000007</v>
      </c>
      <c r="L3810" s="17" t="str">
        <f>HYPERLINK("https://maps.google.com/?q=16.2093051,-97.532069", "🔗 Ver Mapa")</f>
        <v>🔗 Ver Mapa</v>
      </c>
    </row>
    <row r="3811" spans="1:12" ht="43.5" x14ac:dyDescent="0.35">
      <c r="A3811" s="5" t="s">
        <v>4</v>
      </c>
      <c r="B3811" s="5" t="s">
        <v>17</v>
      </c>
      <c r="C3811" s="5" t="s">
        <v>1564</v>
      </c>
      <c r="D3811" s="8" t="s">
        <v>64</v>
      </c>
      <c r="E3811" s="16" t="s">
        <v>74</v>
      </c>
      <c r="F3811" s="16" t="s">
        <v>453</v>
      </c>
      <c r="G3811" s="8" t="s">
        <v>1259</v>
      </c>
      <c r="H3811" s="8" t="s">
        <v>1565</v>
      </c>
      <c r="I3811" s="16" t="s">
        <v>296</v>
      </c>
      <c r="J3811" s="16">
        <v>16.2093661</v>
      </c>
      <c r="K3811" s="16">
        <v>-97.529883999999996</v>
      </c>
      <c r="L3811" s="16" t="str">
        <f>HYPERLINK("https://maps.google.com/?q=16.2093661,-97.529884", "🔗 Ver Mapa")</f>
        <v>🔗 Ver Mapa</v>
      </c>
    </row>
    <row r="3812" spans="1:12" ht="43.5" x14ac:dyDescent="0.35">
      <c r="A3812" s="6" t="s">
        <v>4</v>
      </c>
      <c r="B3812" s="6" t="s">
        <v>17</v>
      </c>
      <c r="C3812" s="6" t="s">
        <v>1564</v>
      </c>
      <c r="D3812" s="11" t="s">
        <v>64</v>
      </c>
      <c r="E3812" s="17" t="s">
        <v>74</v>
      </c>
      <c r="F3812" s="17" t="s">
        <v>453</v>
      </c>
      <c r="G3812" s="11" t="s">
        <v>1259</v>
      </c>
      <c r="H3812" s="11" t="s">
        <v>1565</v>
      </c>
      <c r="I3812" s="17" t="s">
        <v>296</v>
      </c>
      <c r="J3812" s="17">
        <v>16.209403099999999</v>
      </c>
      <c r="K3812" s="17">
        <v>-97.526112100000006</v>
      </c>
      <c r="L3812" s="17" t="str">
        <f>HYPERLINK("https://maps.google.com/?q=16.2094031,-97.5261121", "🔗 Ver Mapa")</f>
        <v>🔗 Ver Mapa</v>
      </c>
    </row>
    <row r="3813" spans="1:12" ht="43.5" x14ac:dyDescent="0.35">
      <c r="A3813" s="5" t="s">
        <v>4</v>
      </c>
      <c r="B3813" s="5" t="s">
        <v>17</v>
      </c>
      <c r="C3813" s="5" t="s">
        <v>1564</v>
      </c>
      <c r="D3813" s="8" t="s">
        <v>64</v>
      </c>
      <c r="E3813" s="16" t="s">
        <v>74</v>
      </c>
      <c r="F3813" s="16" t="s">
        <v>453</v>
      </c>
      <c r="G3813" s="8" t="s">
        <v>1259</v>
      </c>
      <c r="H3813" s="8" t="s">
        <v>1565</v>
      </c>
      <c r="I3813" s="16" t="s">
        <v>296</v>
      </c>
      <c r="J3813" s="16">
        <v>16.209432100000001</v>
      </c>
      <c r="K3813" s="16">
        <v>-97.532274000000001</v>
      </c>
      <c r="L3813" s="16" t="str">
        <f>HYPERLINK("https://maps.google.com/?q=16.2094321,-97.532274", "🔗 Ver Mapa")</f>
        <v>🔗 Ver Mapa</v>
      </c>
    </row>
    <row r="3814" spans="1:12" ht="43.5" x14ac:dyDescent="0.35">
      <c r="A3814" s="6" t="s">
        <v>4</v>
      </c>
      <c r="B3814" s="6" t="s">
        <v>17</v>
      </c>
      <c r="C3814" s="6" t="s">
        <v>1564</v>
      </c>
      <c r="D3814" s="11" t="s">
        <v>64</v>
      </c>
      <c r="E3814" s="17" t="s">
        <v>74</v>
      </c>
      <c r="F3814" s="17" t="s">
        <v>453</v>
      </c>
      <c r="G3814" s="11" t="s">
        <v>1259</v>
      </c>
      <c r="H3814" s="11" t="s">
        <v>1565</v>
      </c>
      <c r="I3814" s="17" t="s">
        <v>296</v>
      </c>
      <c r="J3814" s="17">
        <v>16.2094621</v>
      </c>
      <c r="K3814" s="17">
        <v>-97.526839100000004</v>
      </c>
      <c r="L3814" s="17" t="str">
        <f>HYPERLINK("https://maps.google.com/?q=16.2094621,-97.5268391", "🔗 Ver Mapa")</f>
        <v>🔗 Ver Mapa</v>
      </c>
    </row>
    <row r="3815" spans="1:12" ht="43.5" x14ac:dyDescent="0.35">
      <c r="A3815" s="5" t="s">
        <v>4</v>
      </c>
      <c r="B3815" s="5" t="s">
        <v>17</v>
      </c>
      <c r="C3815" s="5" t="s">
        <v>1564</v>
      </c>
      <c r="D3815" s="8" t="s">
        <v>64</v>
      </c>
      <c r="E3815" s="16" t="s">
        <v>74</v>
      </c>
      <c r="F3815" s="16" t="s">
        <v>453</v>
      </c>
      <c r="G3815" s="8" t="s">
        <v>1259</v>
      </c>
      <c r="H3815" s="8" t="s">
        <v>1565</v>
      </c>
      <c r="I3815" s="16" t="s">
        <v>296</v>
      </c>
      <c r="J3815" s="16">
        <v>16.209520099999999</v>
      </c>
      <c r="K3815" s="16">
        <v>-97.527410000000003</v>
      </c>
      <c r="L3815" s="16" t="str">
        <f>HYPERLINK("https://maps.google.com/?q=16.2095201,-97.52741", "🔗 Ver Mapa")</f>
        <v>🔗 Ver Mapa</v>
      </c>
    </row>
    <row r="3816" spans="1:12" ht="43.5" x14ac:dyDescent="0.35">
      <c r="A3816" s="6" t="s">
        <v>4</v>
      </c>
      <c r="B3816" s="6" t="s">
        <v>17</v>
      </c>
      <c r="C3816" s="6" t="s">
        <v>1564</v>
      </c>
      <c r="D3816" s="11" t="s">
        <v>64</v>
      </c>
      <c r="E3816" s="17" t="s">
        <v>74</v>
      </c>
      <c r="F3816" s="17" t="s">
        <v>453</v>
      </c>
      <c r="G3816" s="11" t="s">
        <v>1259</v>
      </c>
      <c r="H3816" s="11" t="s">
        <v>1565</v>
      </c>
      <c r="I3816" s="17" t="s">
        <v>296</v>
      </c>
      <c r="J3816" s="17">
        <v>16.209534099999999</v>
      </c>
      <c r="K3816" s="17">
        <v>-97.527156000000005</v>
      </c>
      <c r="L3816" s="17" t="str">
        <f>HYPERLINK("https://maps.google.com/?q=16.2095341,-97.527156", "🔗 Ver Mapa")</f>
        <v>🔗 Ver Mapa</v>
      </c>
    </row>
    <row r="3817" spans="1:12" ht="43.5" x14ac:dyDescent="0.35">
      <c r="A3817" s="5" t="s">
        <v>4</v>
      </c>
      <c r="B3817" s="5" t="s">
        <v>17</v>
      </c>
      <c r="C3817" s="5" t="s">
        <v>1564</v>
      </c>
      <c r="D3817" s="8" t="s">
        <v>64</v>
      </c>
      <c r="E3817" s="16" t="s">
        <v>74</v>
      </c>
      <c r="F3817" s="16" t="s">
        <v>453</v>
      </c>
      <c r="G3817" s="8" t="s">
        <v>1259</v>
      </c>
      <c r="H3817" s="8" t="s">
        <v>1565</v>
      </c>
      <c r="I3817" s="16" t="s">
        <v>296</v>
      </c>
      <c r="J3817" s="16">
        <v>16.209539100000001</v>
      </c>
      <c r="K3817" s="16">
        <v>-97.526375000000002</v>
      </c>
      <c r="L3817" s="16" t="str">
        <f>HYPERLINK("https://maps.google.com/?q=16.2095391,-97.526375", "🔗 Ver Mapa")</f>
        <v>🔗 Ver Mapa</v>
      </c>
    </row>
    <row r="3818" spans="1:12" ht="43.5" x14ac:dyDescent="0.35">
      <c r="A3818" s="6" t="s">
        <v>4</v>
      </c>
      <c r="B3818" s="6" t="s">
        <v>17</v>
      </c>
      <c r="C3818" s="6" t="s">
        <v>1564</v>
      </c>
      <c r="D3818" s="11" t="s">
        <v>64</v>
      </c>
      <c r="E3818" s="17" t="s">
        <v>74</v>
      </c>
      <c r="F3818" s="17" t="s">
        <v>453</v>
      </c>
      <c r="G3818" s="11" t="s">
        <v>1259</v>
      </c>
      <c r="H3818" s="11" t="s">
        <v>1565</v>
      </c>
      <c r="I3818" s="17" t="s">
        <v>296</v>
      </c>
      <c r="J3818" s="17">
        <v>16.209584100000001</v>
      </c>
      <c r="K3818" s="17">
        <v>-97.527578000000005</v>
      </c>
      <c r="L3818" s="17" t="str">
        <f>HYPERLINK("https://maps.google.com/?q=16.2095841,-97.527578", "🔗 Ver Mapa")</f>
        <v>🔗 Ver Mapa</v>
      </c>
    </row>
    <row r="3819" spans="1:12" ht="43.5" x14ac:dyDescent="0.35">
      <c r="A3819" s="5" t="s">
        <v>4</v>
      </c>
      <c r="B3819" s="5" t="s">
        <v>17</v>
      </c>
      <c r="C3819" s="5" t="s">
        <v>1564</v>
      </c>
      <c r="D3819" s="8" t="s">
        <v>64</v>
      </c>
      <c r="E3819" s="16" t="s">
        <v>74</v>
      </c>
      <c r="F3819" s="16" t="s">
        <v>453</v>
      </c>
      <c r="G3819" s="8" t="s">
        <v>1259</v>
      </c>
      <c r="H3819" s="8" t="s">
        <v>1565</v>
      </c>
      <c r="I3819" s="16" t="s">
        <v>296</v>
      </c>
      <c r="J3819" s="16">
        <v>16.209600099999999</v>
      </c>
      <c r="K3819" s="16">
        <v>-97.532425000000003</v>
      </c>
      <c r="L3819" s="16" t="str">
        <f>HYPERLINK("https://maps.google.com/?q=16.2096001,-97.532425", "🔗 Ver Mapa")</f>
        <v>🔗 Ver Mapa</v>
      </c>
    </row>
    <row r="3820" spans="1:12" ht="43.5" x14ac:dyDescent="0.35">
      <c r="A3820" s="6" t="s">
        <v>4</v>
      </c>
      <c r="B3820" s="6" t="s">
        <v>17</v>
      </c>
      <c r="C3820" s="6" t="s">
        <v>1564</v>
      </c>
      <c r="D3820" s="11" t="s">
        <v>64</v>
      </c>
      <c r="E3820" s="17" t="s">
        <v>74</v>
      </c>
      <c r="F3820" s="17" t="s">
        <v>453</v>
      </c>
      <c r="G3820" s="11" t="s">
        <v>1259</v>
      </c>
      <c r="H3820" s="11" t="s">
        <v>1565</v>
      </c>
      <c r="I3820" s="17" t="s">
        <v>296</v>
      </c>
      <c r="J3820" s="17">
        <v>16.2096351</v>
      </c>
      <c r="K3820" s="17">
        <v>-97.529875000000004</v>
      </c>
      <c r="L3820" s="17" t="str">
        <f>HYPERLINK("https://maps.google.com/?q=16.2096351,-97.529875", "🔗 Ver Mapa")</f>
        <v>🔗 Ver Mapa</v>
      </c>
    </row>
    <row r="3821" spans="1:12" ht="43.5" x14ac:dyDescent="0.35">
      <c r="A3821" s="5" t="s">
        <v>4</v>
      </c>
      <c r="B3821" s="5" t="s">
        <v>17</v>
      </c>
      <c r="C3821" s="5" t="s">
        <v>1564</v>
      </c>
      <c r="D3821" s="8" t="s">
        <v>64</v>
      </c>
      <c r="E3821" s="16" t="s">
        <v>74</v>
      </c>
      <c r="F3821" s="16" t="s">
        <v>453</v>
      </c>
      <c r="G3821" s="8" t="s">
        <v>1259</v>
      </c>
      <c r="H3821" s="8" t="s">
        <v>1565</v>
      </c>
      <c r="I3821" s="16" t="s">
        <v>296</v>
      </c>
      <c r="J3821" s="16">
        <v>16.209804099999999</v>
      </c>
      <c r="K3821" s="16">
        <v>-97.527878099999995</v>
      </c>
      <c r="L3821" s="16" t="str">
        <f>HYPERLINK("https://maps.google.com/?q=16.2098041,-97.5278781", "🔗 Ver Mapa")</f>
        <v>🔗 Ver Mapa</v>
      </c>
    </row>
    <row r="3822" spans="1:12" ht="43.5" x14ac:dyDescent="0.35">
      <c r="A3822" s="6" t="s">
        <v>4</v>
      </c>
      <c r="B3822" s="6" t="s">
        <v>17</v>
      </c>
      <c r="C3822" s="6" t="s">
        <v>1564</v>
      </c>
      <c r="D3822" s="11" t="s">
        <v>64</v>
      </c>
      <c r="E3822" s="17" t="s">
        <v>74</v>
      </c>
      <c r="F3822" s="17" t="s">
        <v>453</v>
      </c>
      <c r="G3822" s="11" t="s">
        <v>1259</v>
      </c>
      <c r="H3822" s="11" t="s">
        <v>1565</v>
      </c>
      <c r="I3822" s="17" t="s">
        <v>296</v>
      </c>
      <c r="J3822" s="17">
        <v>16.2099066</v>
      </c>
      <c r="K3822" s="17">
        <v>-97.529848099999995</v>
      </c>
      <c r="L3822" s="17" t="str">
        <f>HYPERLINK("https://maps.google.com/?q=16.2099066,-97.5298481", "🔗 Ver Mapa")</f>
        <v>🔗 Ver Mapa</v>
      </c>
    </row>
    <row r="3823" spans="1:12" ht="43.5" x14ac:dyDescent="0.35">
      <c r="A3823" s="5" t="s">
        <v>4</v>
      </c>
      <c r="B3823" s="5" t="s">
        <v>17</v>
      </c>
      <c r="C3823" s="5" t="s">
        <v>1564</v>
      </c>
      <c r="D3823" s="8" t="s">
        <v>64</v>
      </c>
      <c r="E3823" s="16" t="s">
        <v>74</v>
      </c>
      <c r="F3823" s="16" t="s">
        <v>453</v>
      </c>
      <c r="G3823" s="8" t="s">
        <v>1259</v>
      </c>
      <c r="H3823" s="8" t="s">
        <v>1565</v>
      </c>
      <c r="I3823" s="16" t="s">
        <v>296</v>
      </c>
      <c r="J3823" s="16">
        <v>16.209913100000001</v>
      </c>
      <c r="K3823" s="16">
        <v>-97.532668000000001</v>
      </c>
      <c r="L3823" s="16" t="str">
        <f>HYPERLINK("https://maps.google.com/?q=16.2099131,-97.532668", "🔗 Ver Mapa")</f>
        <v>🔗 Ver Mapa</v>
      </c>
    </row>
    <row r="3824" spans="1:12" ht="43.5" x14ac:dyDescent="0.35">
      <c r="A3824" s="6" t="s">
        <v>4</v>
      </c>
      <c r="B3824" s="6" t="s">
        <v>17</v>
      </c>
      <c r="C3824" s="6" t="s">
        <v>1564</v>
      </c>
      <c r="D3824" s="11" t="s">
        <v>64</v>
      </c>
      <c r="E3824" s="17" t="s">
        <v>74</v>
      </c>
      <c r="F3824" s="17" t="s">
        <v>453</v>
      </c>
      <c r="G3824" s="11" t="s">
        <v>1259</v>
      </c>
      <c r="H3824" s="11" t="s">
        <v>1565</v>
      </c>
      <c r="I3824" s="17" t="s">
        <v>296</v>
      </c>
      <c r="J3824" s="17">
        <v>16.210006100000001</v>
      </c>
      <c r="K3824" s="17">
        <v>-97.528289999999998</v>
      </c>
      <c r="L3824" s="17" t="str">
        <f>HYPERLINK("https://maps.google.com/?q=16.2100061,-97.52829", "🔗 Ver Mapa")</f>
        <v>🔗 Ver Mapa</v>
      </c>
    </row>
    <row r="3825" spans="1:12" ht="43.5" x14ac:dyDescent="0.35">
      <c r="A3825" s="5" t="s">
        <v>4</v>
      </c>
      <c r="B3825" s="5" t="s">
        <v>17</v>
      </c>
      <c r="C3825" s="5" t="s">
        <v>1564</v>
      </c>
      <c r="D3825" s="8" t="s">
        <v>64</v>
      </c>
      <c r="E3825" s="16" t="s">
        <v>74</v>
      </c>
      <c r="F3825" s="16" t="s">
        <v>453</v>
      </c>
      <c r="G3825" s="8" t="s">
        <v>1259</v>
      </c>
      <c r="H3825" s="8" t="s">
        <v>1565</v>
      </c>
      <c r="I3825" s="16" t="s">
        <v>296</v>
      </c>
      <c r="J3825" s="16">
        <v>16.210100099999998</v>
      </c>
      <c r="K3825" s="16">
        <v>-97.528621000000001</v>
      </c>
      <c r="L3825" s="16" t="str">
        <f>HYPERLINK("https://maps.google.com/?q=16.2101001,-97.528621", "🔗 Ver Mapa")</f>
        <v>🔗 Ver Mapa</v>
      </c>
    </row>
    <row r="3826" spans="1:12" ht="43.5" x14ac:dyDescent="0.35">
      <c r="A3826" s="6" t="s">
        <v>4</v>
      </c>
      <c r="B3826" s="6" t="s">
        <v>17</v>
      </c>
      <c r="C3826" s="6" t="s">
        <v>1564</v>
      </c>
      <c r="D3826" s="11" t="s">
        <v>64</v>
      </c>
      <c r="E3826" s="17" t="s">
        <v>74</v>
      </c>
      <c r="F3826" s="17" t="s">
        <v>453</v>
      </c>
      <c r="G3826" s="11" t="s">
        <v>1259</v>
      </c>
      <c r="H3826" s="11" t="s">
        <v>1565</v>
      </c>
      <c r="I3826" s="17" t="s">
        <v>296</v>
      </c>
      <c r="J3826" s="17">
        <v>16.2101401</v>
      </c>
      <c r="K3826" s="17">
        <v>-97.529825000000002</v>
      </c>
      <c r="L3826" s="17" t="str">
        <f>HYPERLINK("https://maps.google.com/?q=16.2101401,-97.529825", "🔗 Ver Mapa")</f>
        <v>🔗 Ver Mapa</v>
      </c>
    </row>
    <row r="3827" spans="1:12" ht="43.5" x14ac:dyDescent="0.35">
      <c r="A3827" s="5" t="s">
        <v>4</v>
      </c>
      <c r="B3827" s="5" t="s">
        <v>17</v>
      </c>
      <c r="C3827" s="5" t="s">
        <v>1564</v>
      </c>
      <c r="D3827" s="8" t="s">
        <v>64</v>
      </c>
      <c r="E3827" s="16" t="s">
        <v>74</v>
      </c>
      <c r="F3827" s="16" t="s">
        <v>453</v>
      </c>
      <c r="G3827" s="8" t="s">
        <v>1259</v>
      </c>
      <c r="H3827" s="8" t="s">
        <v>1565</v>
      </c>
      <c r="I3827" s="16" t="s">
        <v>296</v>
      </c>
      <c r="J3827" s="16">
        <v>16.210200100000002</v>
      </c>
      <c r="K3827" s="16">
        <v>-97.528834099999997</v>
      </c>
      <c r="L3827" s="16" t="str">
        <f>HYPERLINK("https://maps.google.com/?q=16.2102001,-97.5288341", "🔗 Ver Mapa")</f>
        <v>🔗 Ver Mapa</v>
      </c>
    </row>
    <row r="3828" spans="1:12" ht="43.5" x14ac:dyDescent="0.35">
      <c r="A3828" s="6" t="s">
        <v>4</v>
      </c>
      <c r="B3828" s="6" t="s">
        <v>17</v>
      </c>
      <c r="C3828" s="6" t="s">
        <v>1564</v>
      </c>
      <c r="D3828" s="11" t="s">
        <v>64</v>
      </c>
      <c r="E3828" s="17" t="s">
        <v>74</v>
      </c>
      <c r="F3828" s="17" t="s">
        <v>453</v>
      </c>
      <c r="G3828" s="11" t="s">
        <v>1259</v>
      </c>
      <c r="H3828" s="11" t="s">
        <v>1565</v>
      </c>
      <c r="I3828" s="17" t="s">
        <v>296</v>
      </c>
      <c r="J3828" s="17">
        <v>16.2103298</v>
      </c>
      <c r="K3828" s="17">
        <v>-97.529132099999998</v>
      </c>
      <c r="L3828" s="17" t="str">
        <f>HYPERLINK("https://maps.google.com/?q=16.2103298,-97.5291321", "🔗 Ver Mapa")</f>
        <v>🔗 Ver Mapa</v>
      </c>
    </row>
    <row r="3829" spans="1:12" ht="43.5" x14ac:dyDescent="0.35">
      <c r="A3829" s="5" t="s">
        <v>4</v>
      </c>
      <c r="B3829" s="5" t="s">
        <v>17</v>
      </c>
      <c r="C3829" s="5" t="s">
        <v>1564</v>
      </c>
      <c r="D3829" s="8" t="s">
        <v>64</v>
      </c>
      <c r="E3829" s="16" t="s">
        <v>74</v>
      </c>
      <c r="F3829" s="16" t="s">
        <v>453</v>
      </c>
      <c r="G3829" s="8" t="s">
        <v>1259</v>
      </c>
      <c r="H3829" s="8" t="s">
        <v>1565</v>
      </c>
      <c r="I3829" s="16" t="s">
        <v>296</v>
      </c>
      <c r="J3829" s="16">
        <v>16.210397100000002</v>
      </c>
      <c r="K3829" s="16">
        <v>-97.528095100000002</v>
      </c>
      <c r="L3829" s="16" t="str">
        <f>HYPERLINK("https://maps.google.com/?q=16.2103971,-97.5280951", "🔗 Ver Mapa")</f>
        <v>🔗 Ver Mapa</v>
      </c>
    </row>
    <row r="3830" spans="1:12" ht="43.5" x14ac:dyDescent="0.35">
      <c r="A3830" s="6" t="s">
        <v>4</v>
      </c>
      <c r="B3830" s="6" t="s">
        <v>17</v>
      </c>
      <c r="C3830" s="6" t="s">
        <v>1564</v>
      </c>
      <c r="D3830" s="11" t="s">
        <v>64</v>
      </c>
      <c r="E3830" s="17" t="s">
        <v>74</v>
      </c>
      <c r="F3830" s="17" t="s">
        <v>453</v>
      </c>
      <c r="G3830" s="11" t="s">
        <v>1259</v>
      </c>
      <c r="H3830" s="11" t="s">
        <v>1565</v>
      </c>
      <c r="I3830" s="17" t="s">
        <v>296</v>
      </c>
      <c r="J3830" s="17">
        <v>16.2104371</v>
      </c>
      <c r="K3830" s="17">
        <v>-97.529798999999997</v>
      </c>
      <c r="L3830" s="17" t="str">
        <f>HYPERLINK("https://maps.google.com/?q=16.2104371,-97.529799", "🔗 Ver Mapa")</f>
        <v>🔗 Ver Mapa</v>
      </c>
    </row>
    <row r="3831" spans="1:12" ht="43.5" x14ac:dyDescent="0.35">
      <c r="A3831" s="5" t="s">
        <v>4</v>
      </c>
      <c r="B3831" s="5" t="s">
        <v>17</v>
      </c>
      <c r="C3831" s="5" t="s">
        <v>1564</v>
      </c>
      <c r="D3831" s="8" t="s">
        <v>64</v>
      </c>
      <c r="E3831" s="16" t="s">
        <v>74</v>
      </c>
      <c r="F3831" s="16" t="s">
        <v>453</v>
      </c>
      <c r="G3831" s="8" t="s">
        <v>1259</v>
      </c>
      <c r="H3831" s="8" t="s">
        <v>1565</v>
      </c>
      <c r="I3831" s="16" t="s">
        <v>296</v>
      </c>
      <c r="J3831" s="16">
        <v>16.210469100000001</v>
      </c>
      <c r="K3831" s="16">
        <v>-97.529452000000006</v>
      </c>
      <c r="L3831" s="16" t="str">
        <f>HYPERLINK("https://maps.google.com/?q=16.2104691,-97.529452", "🔗 Ver Mapa")</f>
        <v>🔗 Ver Mapa</v>
      </c>
    </row>
    <row r="3832" spans="1:12" ht="43.5" x14ac:dyDescent="0.35">
      <c r="A3832" s="6" t="s">
        <v>4</v>
      </c>
      <c r="B3832" s="6" t="s">
        <v>17</v>
      </c>
      <c r="C3832" s="6" t="s">
        <v>1564</v>
      </c>
      <c r="D3832" s="11" t="s">
        <v>64</v>
      </c>
      <c r="E3832" s="17" t="s">
        <v>74</v>
      </c>
      <c r="F3832" s="17" t="s">
        <v>453</v>
      </c>
      <c r="G3832" s="11" t="s">
        <v>1259</v>
      </c>
      <c r="H3832" s="11" t="s">
        <v>1565</v>
      </c>
      <c r="I3832" s="17" t="s">
        <v>296</v>
      </c>
      <c r="J3832" s="17">
        <v>16.210587100000001</v>
      </c>
      <c r="K3832" s="17">
        <v>-97.527968000000001</v>
      </c>
      <c r="L3832" s="17" t="str">
        <f>HYPERLINK("https://maps.google.com/?q=16.2105871,-97.527968", "🔗 Ver Mapa")</f>
        <v>🔗 Ver Mapa</v>
      </c>
    </row>
    <row r="3833" spans="1:12" ht="43.5" x14ac:dyDescent="0.35">
      <c r="A3833" s="5" t="s">
        <v>4</v>
      </c>
      <c r="B3833" s="5" t="s">
        <v>17</v>
      </c>
      <c r="C3833" s="5" t="s">
        <v>1564</v>
      </c>
      <c r="D3833" s="8" t="s">
        <v>64</v>
      </c>
      <c r="E3833" s="16" t="s">
        <v>74</v>
      </c>
      <c r="F3833" s="16" t="s">
        <v>453</v>
      </c>
      <c r="G3833" s="8" t="s">
        <v>1259</v>
      </c>
      <c r="H3833" s="8" t="s">
        <v>1565</v>
      </c>
      <c r="I3833" s="16" t="s">
        <v>296</v>
      </c>
      <c r="J3833" s="16">
        <v>16.2106651</v>
      </c>
      <c r="K3833" s="16">
        <v>-97.529813000000004</v>
      </c>
      <c r="L3833" s="16" t="str">
        <f>HYPERLINK("https://maps.google.com/?q=16.2106651,-97.529813", "🔗 Ver Mapa")</f>
        <v>🔗 Ver Mapa</v>
      </c>
    </row>
    <row r="3834" spans="1:12" ht="43.5" x14ac:dyDescent="0.35">
      <c r="A3834" s="6" t="s">
        <v>4</v>
      </c>
      <c r="B3834" s="6" t="s">
        <v>17</v>
      </c>
      <c r="C3834" s="6" t="s">
        <v>1564</v>
      </c>
      <c r="D3834" s="11" t="s">
        <v>64</v>
      </c>
      <c r="E3834" s="17" t="s">
        <v>74</v>
      </c>
      <c r="F3834" s="17" t="s">
        <v>453</v>
      </c>
      <c r="G3834" s="11" t="s">
        <v>1259</v>
      </c>
      <c r="H3834" s="11" t="s">
        <v>1565</v>
      </c>
      <c r="I3834" s="17" t="s">
        <v>296</v>
      </c>
      <c r="J3834" s="17">
        <v>16.210992099999999</v>
      </c>
      <c r="K3834" s="17">
        <v>-97.529820999999998</v>
      </c>
      <c r="L3834" s="17" t="str">
        <f>HYPERLINK("https://maps.google.com/?q=16.2109921,-97.529821", "🔗 Ver Mapa")</f>
        <v>🔗 Ver Mapa</v>
      </c>
    </row>
    <row r="3835" spans="1:12" ht="43.5" x14ac:dyDescent="0.35">
      <c r="A3835" s="5" t="s">
        <v>4</v>
      </c>
      <c r="B3835" s="5" t="s">
        <v>17</v>
      </c>
      <c r="C3835" s="5" t="s">
        <v>1564</v>
      </c>
      <c r="D3835" s="8" t="s">
        <v>64</v>
      </c>
      <c r="E3835" s="16" t="s">
        <v>74</v>
      </c>
      <c r="F3835" s="16" t="s">
        <v>453</v>
      </c>
      <c r="G3835" s="8" t="s">
        <v>1259</v>
      </c>
      <c r="H3835" s="8" t="s">
        <v>1565</v>
      </c>
      <c r="I3835" s="16" t="s">
        <v>296</v>
      </c>
      <c r="J3835" s="16">
        <v>16.211483099999999</v>
      </c>
      <c r="K3835" s="16">
        <v>-97.529796000000005</v>
      </c>
      <c r="L3835" s="16" t="str">
        <f>HYPERLINK("https://maps.google.com/?q=16.2114831,-97.529796", "🔗 Ver Mapa")</f>
        <v>🔗 Ver Mapa</v>
      </c>
    </row>
    <row r="3836" spans="1:12" ht="43.5" x14ac:dyDescent="0.35">
      <c r="A3836" s="6" t="s">
        <v>4</v>
      </c>
      <c r="B3836" s="6" t="s">
        <v>17</v>
      </c>
      <c r="C3836" s="6" t="s">
        <v>1564</v>
      </c>
      <c r="D3836" s="11" t="s">
        <v>64</v>
      </c>
      <c r="E3836" s="17" t="s">
        <v>74</v>
      </c>
      <c r="F3836" s="17" t="s">
        <v>453</v>
      </c>
      <c r="G3836" s="11" t="s">
        <v>1259</v>
      </c>
      <c r="H3836" s="11" t="s">
        <v>1565</v>
      </c>
      <c r="I3836" s="17" t="s">
        <v>296</v>
      </c>
      <c r="J3836" s="17">
        <v>16.2120271</v>
      </c>
      <c r="K3836" s="17">
        <v>-97.529821999999996</v>
      </c>
      <c r="L3836" s="17" t="str">
        <f>HYPERLINK("https://maps.google.com/?q=16.2120271,-97.529822", "🔗 Ver Mapa")</f>
        <v>🔗 Ver Mapa</v>
      </c>
    </row>
    <row r="3837" spans="1:12" ht="43.5" x14ac:dyDescent="0.35">
      <c r="A3837" s="5" t="s">
        <v>4</v>
      </c>
      <c r="B3837" s="5" t="s">
        <v>17</v>
      </c>
      <c r="C3837" s="5" t="s">
        <v>1564</v>
      </c>
      <c r="D3837" s="8" t="s">
        <v>64</v>
      </c>
      <c r="E3837" s="16" t="s">
        <v>74</v>
      </c>
      <c r="F3837" s="16" t="s">
        <v>453</v>
      </c>
      <c r="G3837" s="8" t="s">
        <v>1259</v>
      </c>
      <c r="H3837" s="8" t="s">
        <v>1565</v>
      </c>
      <c r="I3837" s="16" t="s">
        <v>296</v>
      </c>
      <c r="J3837" s="16">
        <v>16.2124691</v>
      </c>
      <c r="K3837" s="16">
        <v>-97.529859099999996</v>
      </c>
      <c r="L3837" s="16" t="str">
        <f>HYPERLINK("https://maps.google.com/?q=16.2124691,-97.5298591", "🔗 Ver Mapa")</f>
        <v>🔗 Ver Mapa</v>
      </c>
    </row>
    <row r="3838" spans="1:12" ht="43.5" x14ac:dyDescent="0.35">
      <c r="A3838" s="6" t="s">
        <v>4</v>
      </c>
      <c r="B3838" s="6" t="s">
        <v>17</v>
      </c>
      <c r="C3838" s="6" t="s">
        <v>1564</v>
      </c>
      <c r="D3838" s="11" t="s">
        <v>64</v>
      </c>
      <c r="E3838" s="17" t="s">
        <v>74</v>
      </c>
      <c r="F3838" s="17" t="s">
        <v>453</v>
      </c>
      <c r="G3838" s="11" t="s">
        <v>1259</v>
      </c>
      <c r="H3838" s="11" t="s">
        <v>1565</v>
      </c>
      <c r="I3838" s="17" t="s">
        <v>296</v>
      </c>
      <c r="J3838" s="17">
        <v>16.212759399999999</v>
      </c>
      <c r="K3838" s="17">
        <v>-97.529861600000004</v>
      </c>
      <c r="L3838" s="17" t="str">
        <f>HYPERLINK("https://maps.google.com/?q=16.2127594,-97.5298616", "🔗 Ver Mapa")</f>
        <v>🔗 Ver Mapa</v>
      </c>
    </row>
    <row r="3839" spans="1:12" ht="43.5" x14ac:dyDescent="0.35">
      <c r="A3839" s="5" t="s">
        <v>4</v>
      </c>
      <c r="B3839" s="5" t="s">
        <v>17</v>
      </c>
      <c r="C3839" s="5" t="s">
        <v>1564</v>
      </c>
      <c r="D3839" s="8" t="s">
        <v>64</v>
      </c>
      <c r="E3839" s="16" t="s">
        <v>74</v>
      </c>
      <c r="F3839" s="16" t="s">
        <v>453</v>
      </c>
      <c r="G3839" s="8" t="s">
        <v>1259</v>
      </c>
      <c r="H3839" s="8" t="s">
        <v>1565</v>
      </c>
      <c r="I3839" s="16" t="s">
        <v>296</v>
      </c>
      <c r="J3839" s="16">
        <v>16.212841099999999</v>
      </c>
      <c r="K3839" s="16">
        <v>-97.529741099999995</v>
      </c>
      <c r="L3839" s="16" t="str">
        <f>HYPERLINK("https://maps.google.com/?q=16.2128411,-97.5297411", "🔗 Ver Mapa")</f>
        <v>🔗 Ver Mapa</v>
      </c>
    </row>
    <row r="3840" spans="1:12" ht="43.5" x14ac:dyDescent="0.35">
      <c r="A3840" s="6" t="s">
        <v>4</v>
      </c>
      <c r="B3840" s="6" t="s">
        <v>17</v>
      </c>
      <c r="C3840" s="6" t="s">
        <v>1564</v>
      </c>
      <c r="D3840" s="11" t="s">
        <v>64</v>
      </c>
      <c r="E3840" s="17" t="s">
        <v>74</v>
      </c>
      <c r="F3840" s="17" t="s">
        <v>453</v>
      </c>
      <c r="G3840" s="11" t="s">
        <v>1259</v>
      </c>
      <c r="H3840" s="11" t="s">
        <v>1565</v>
      </c>
      <c r="I3840" s="17" t="s">
        <v>296</v>
      </c>
      <c r="J3840" s="17">
        <v>16.212962099999999</v>
      </c>
      <c r="K3840" s="17">
        <v>-97.529644000000005</v>
      </c>
      <c r="L3840" s="17" t="str">
        <f>HYPERLINK("https://maps.google.com/?q=16.2129621,-97.529644", "🔗 Ver Mapa")</f>
        <v>🔗 Ver Mapa</v>
      </c>
    </row>
    <row r="3841" spans="1:12" ht="43.5" x14ac:dyDescent="0.35">
      <c r="A3841" s="5" t="s">
        <v>4</v>
      </c>
      <c r="B3841" s="5" t="s">
        <v>17</v>
      </c>
      <c r="C3841" s="5" t="s">
        <v>1564</v>
      </c>
      <c r="D3841" s="8" t="s">
        <v>64</v>
      </c>
      <c r="E3841" s="16" t="s">
        <v>74</v>
      </c>
      <c r="F3841" s="16" t="s">
        <v>453</v>
      </c>
      <c r="G3841" s="8" t="s">
        <v>1259</v>
      </c>
      <c r="H3841" s="8" t="s">
        <v>1565</v>
      </c>
      <c r="I3841" s="16" t="s">
        <v>296</v>
      </c>
      <c r="J3841" s="16">
        <v>16.2130391</v>
      </c>
      <c r="K3841" s="16">
        <v>-97.529864000000003</v>
      </c>
      <c r="L3841" s="16" t="str">
        <f>HYPERLINK("https://maps.google.com/?q=16.2130391,-97.529864", "🔗 Ver Mapa")</f>
        <v>🔗 Ver Mapa</v>
      </c>
    </row>
    <row r="3842" spans="1:12" ht="43.5" x14ac:dyDescent="0.35">
      <c r="A3842" s="6" t="s">
        <v>4</v>
      </c>
      <c r="B3842" s="6" t="s">
        <v>17</v>
      </c>
      <c r="C3842" s="6" t="s">
        <v>1564</v>
      </c>
      <c r="D3842" s="11" t="s">
        <v>64</v>
      </c>
      <c r="E3842" s="17" t="s">
        <v>74</v>
      </c>
      <c r="F3842" s="17" t="s">
        <v>453</v>
      </c>
      <c r="G3842" s="11" t="s">
        <v>1259</v>
      </c>
      <c r="H3842" s="11" t="s">
        <v>1565</v>
      </c>
      <c r="I3842" s="17" t="s">
        <v>296</v>
      </c>
      <c r="J3842" s="17">
        <v>16.213099100000001</v>
      </c>
      <c r="K3842" s="17">
        <v>-97.529304999999994</v>
      </c>
      <c r="L3842" s="17" t="str">
        <f>HYPERLINK("https://maps.google.com/?q=16.2130991,-97.529305", "🔗 Ver Mapa")</f>
        <v>🔗 Ver Mapa</v>
      </c>
    </row>
    <row r="3843" spans="1:12" ht="43.5" x14ac:dyDescent="0.35">
      <c r="A3843" s="5" t="s">
        <v>4</v>
      </c>
      <c r="B3843" s="5" t="s">
        <v>17</v>
      </c>
      <c r="C3843" s="5" t="s">
        <v>1564</v>
      </c>
      <c r="D3843" s="8" t="s">
        <v>64</v>
      </c>
      <c r="E3843" s="16" t="s">
        <v>74</v>
      </c>
      <c r="F3843" s="16" t="s">
        <v>453</v>
      </c>
      <c r="G3843" s="8" t="s">
        <v>1259</v>
      </c>
      <c r="H3843" s="8" t="s">
        <v>1565</v>
      </c>
      <c r="I3843" s="16" t="s">
        <v>296</v>
      </c>
      <c r="J3843" s="16">
        <v>16.213348100000001</v>
      </c>
      <c r="K3843" s="16">
        <v>-97.529870000000003</v>
      </c>
      <c r="L3843" s="16" t="str">
        <f>HYPERLINK("https://maps.google.com/?q=16.2133481,-97.52987", "🔗 Ver Mapa")</f>
        <v>🔗 Ver Mapa</v>
      </c>
    </row>
    <row r="3844" spans="1:12" ht="43.5" x14ac:dyDescent="0.35">
      <c r="A3844" s="6" t="s">
        <v>4</v>
      </c>
      <c r="B3844" s="6" t="s">
        <v>17</v>
      </c>
      <c r="C3844" s="6" t="s">
        <v>1564</v>
      </c>
      <c r="D3844" s="11" t="s">
        <v>64</v>
      </c>
      <c r="E3844" s="17" t="s">
        <v>74</v>
      </c>
      <c r="F3844" s="17" t="s">
        <v>453</v>
      </c>
      <c r="G3844" s="11" t="s">
        <v>1259</v>
      </c>
      <c r="H3844" s="11" t="s">
        <v>1565</v>
      </c>
      <c r="I3844" s="17" t="s">
        <v>296</v>
      </c>
      <c r="J3844" s="17">
        <v>16.213737099999999</v>
      </c>
      <c r="K3844" s="17">
        <v>-97.529897000000005</v>
      </c>
      <c r="L3844" s="17" t="str">
        <f>HYPERLINK("https://maps.google.com/?q=16.2137371,-97.529897", "🔗 Ver Mapa")</f>
        <v>🔗 Ver Mapa</v>
      </c>
    </row>
    <row r="3845" spans="1:12" ht="43.5" x14ac:dyDescent="0.35">
      <c r="A3845" s="5" t="s">
        <v>4</v>
      </c>
      <c r="B3845" s="5" t="s">
        <v>17</v>
      </c>
      <c r="C3845" s="5" t="s">
        <v>1564</v>
      </c>
      <c r="D3845" s="8" t="s">
        <v>64</v>
      </c>
      <c r="E3845" s="16" t="s">
        <v>74</v>
      </c>
      <c r="F3845" s="16" t="s">
        <v>453</v>
      </c>
      <c r="G3845" s="8" t="s">
        <v>1259</v>
      </c>
      <c r="H3845" s="8" t="s">
        <v>1565</v>
      </c>
      <c r="I3845" s="16" t="s">
        <v>296</v>
      </c>
      <c r="J3845" s="16">
        <v>16.214154099999998</v>
      </c>
      <c r="K3845" s="16">
        <v>-97.529912999999993</v>
      </c>
      <c r="L3845" s="16" t="str">
        <f>HYPERLINK("https://maps.google.com/?q=16.2141541,-97.529913", "🔗 Ver Mapa")</f>
        <v>🔗 Ver Mapa</v>
      </c>
    </row>
    <row r="3846" spans="1:12" ht="43.5" x14ac:dyDescent="0.35">
      <c r="A3846" s="6" t="s">
        <v>4</v>
      </c>
      <c r="B3846" s="6" t="s">
        <v>17</v>
      </c>
      <c r="C3846" s="6" t="s">
        <v>1564</v>
      </c>
      <c r="D3846" s="11" t="s">
        <v>64</v>
      </c>
      <c r="E3846" s="17" t="s">
        <v>74</v>
      </c>
      <c r="F3846" s="17" t="s">
        <v>453</v>
      </c>
      <c r="G3846" s="11" t="s">
        <v>1259</v>
      </c>
      <c r="H3846" s="11" t="s">
        <v>1565</v>
      </c>
      <c r="I3846" s="17" t="s">
        <v>296</v>
      </c>
      <c r="J3846" s="17">
        <v>16.214276099999999</v>
      </c>
      <c r="K3846" s="17">
        <v>-97.529900999999995</v>
      </c>
      <c r="L3846" s="17" t="str">
        <f>HYPERLINK("https://maps.google.com/?q=16.2142761,-97.529901", "🔗 Ver Mapa")</f>
        <v>🔗 Ver Mapa</v>
      </c>
    </row>
    <row r="3847" spans="1:12" ht="43.5" x14ac:dyDescent="0.35">
      <c r="A3847" s="5" t="s">
        <v>4</v>
      </c>
      <c r="B3847" s="5" t="s">
        <v>17</v>
      </c>
      <c r="C3847" s="5" t="s">
        <v>1566</v>
      </c>
      <c r="D3847" s="8" t="s">
        <v>294</v>
      </c>
      <c r="E3847" s="16" t="s">
        <v>75</v>
      </c>
      <c r="F3847" s="16" t="s">
        <v>87</v>
      </c>
      <c r="G3847" s="8" t="s">
        <v>1534</v>
      </c>
      <c r="H3847" s="8" t="s">
        <v>1535</v>
      </c>
      <c r="I3847" s="16" t="s">
        <v>138</v>
      </c>
      <c r="J3847" s="16">
        <v>17.290348000000002</v>
      </c>
      <c r="K3847" s="16">
        <v>-96.908197999999999</v>
      </c>
      <c r="L3847" s="16" t="str">
        <f>HYPERLINK("https://maps.google.com/?q=17.290348,-96.908198", "🔗 Ver Mapa")</f>
        <v>🔗 Ver Mapa</v>
      </c>
    </row>
    <row r="3848" spans="1:12" ht="43.5" x14ac:dyDescent="0.35">
      <c r="A3848" s="6" t="s">
        <v>4</v>
      </c>
      <c r="B3848" s="6" t="s">
        <v>17</v>
      </c>
      <c r="C3848" s="6" t="s">
        <v>1567</v>
      </c>
      <c r="D3848" s="11" t="s">
        <v>294</v>
      </c>
      <c r="E3848" s="17" t="s">
        <v>75</v>
      </c>
      <c r="F3848" s="17" t="s">
        <v>86</v>
      </c>
      <c r="G3848" s="11" t="s">
        <v>1568</v>
      </c>
      <c r="H3848" s="11" t="s">
        <v>1569</v>
      </c>
      <c r="I3848" s="17" t="s">
        <v>138</v>
      </c>
      <c r="J3848" s="17">
        <v>16.972349957430001</v>
      </c>
      <c r="K3848" s="17">
        <v>-96.709374949340997</v>
      </c>
      <c r="L3848" s="17" t="str">
        <f>HYPERLINK("https://maps.google.com/?q=16.97234995743,-96.709374949341", "🔗 Ver Mapa")</f>
        <v>🔗 Ver Mapa</v>
      </c>
    </row>
    <row r="3849" spans="1:12" ht="58" x14ac:dyDescent="0.35">
      <c r="A3849" s="5" t="s">
        <v>1</v>
      </c>
      <c r="B3849" s="5" t="s">
        <v>14</v>
      </c>
      <c r="C3849" s="5" t="s">
        <v>1570</v>
      </c>
      <c r="D3849" s="8" t="s">
        <v>61</v>
      </c>
      <c r="E3849" s="16" t="s">
        <v>74</v>
      </c>
      <c r="F3849" s="16" t="s">
        <v>89</v>
      </c>
      <c r="G3849" s="8" t="s">
        <v>220</v>
      </c>
      <c r="H3849" s="8" t="s">
        <v>1571</v>
      </c>
      <c r="I3849" s="16" t="s">
        <v>138</v>
      </c>
      <c r="J3849" s="16">
        <v>15.817589632220001</v>
      </c>
      <c r="K3849" s="16">
        <v>-96.051172229261994</v>
      </c>
      <c r="L3849" s="16" t="str">
        <f>HYPERLINK("https://maps.google.com/?q=15.81758963222,-96.051172229262", "🔗 Ver Mapa")</f>
        <v>🔗 Ver Mapa</v>
      </c>
    </row>
    <row r="3850" spans="1:12" ht="58" x14ac:dyDescent="0.35">
      <c r="A3850" s="6" t="s">
        <v>1</v>
      </c>
      <c r="B3850" s="6" t="s">
        <v>14</v>
      </c>
      <c r="C3850" s="6" t="s">
        <v>1572</v>
      </c>
      <c r="D3850" s="11" t="s">
        <v>61</v>
      </c>
      <c r="E3850" s="17" t="s">
        <v>73</v>
      </c>
      <c r="F3850" s="17" t="s">
        <v>187</v>
      </c>
      <c r="G3850" s="11" t="s">
        <v>1573</v>
      </c>
      <c r="H3850" s="11" t="s">
        <v>1574</v>
      </c>
      <c r="I3850" s="17" t="s">
        <v>138</v>
      </c>
      <c r="J3850" s="17">
        <v>17.237892474517</v>
      </c>
      <c r="K3850" s="17">
        <v>-97.105253528415005</v>
      </c>
      <c r="L3850" s="17" t="str">
        <f>HYPERLINK("https://maps.google.com/?q=17.237892474517,-97.105253528415", "🔗 Ver Mapa")</f>
        <v>🔗 Ver Mapa</v>
      </c>
    </row>
    <row r="3851" spans="1:12" ht="58" x14ac:dyDescent="0.35">
      <c r="A3851" s="5" t="s">
        <v>1</v>
      </c>
      <c r="B3851" s="5" t="s">
        <v>14</v>
      </c>
      <c r="C3851" s="5" t="s">
        <v>1575</v>
      </c>
      <c r="D3851" s="8" t="s">
        <v>61</v>
      </c>
      <c r="E3851" s="16" t="s">
        <v>74</v>
      </c>
      <c r="F3851" s="16" t="s">
        <v>89</v>
      </c>
      <c r="G3851" s="8" t="s">
        <v>655</v>
      </c>
      <c r="H3851" s="8" t="s">
        <v>1576</v>
      </c>
      <c r="I3851" s="16" t="s">
        <v>138</v>
      </c>
      <c r="J3851" s="16">
        <v>15.750237</v>
      </c>
      <c r="K3851" s="16">
        <v>-96.827335000000005</v>
      </c>
      <c r="L3851" s="16" t="str">
        <f>HYPERLINK("https://maps.google.com/?q=15.750237,-96.827335", "🔗 Ver Mapa")</f>
        <v>🔗 Ver Mapa</v>
      </c>
    </row>
    <row r="3852" spans="1:12" ht="43.5" x14ac:dyDescent="0.35">
      <c r="A3852" s="6" t="s">
        <v>1</v>
      </c>
      <c r="B3852" s="6" t="s">
        <v>14</v>
      </c>
      <c r="C3852" s="6" t="s">
        <v>1577</v>
      </c>
      <c r="D3852" s="11" t="s">
        <v>61</v>
      </c>
      <c r="E3852" s="17" t="s">
        <v>79</v>
      </c>
      <c r="F3852" s="17" t="s">
        <v>195</v>
      </c>
      <c r="G3852" s="11" t="s">
        <v>1376</v>
      </c>
      <c r="H3852" s="11" t="s">
        <v>1424</v>
      </c>
      <c r="I3852" s="17" t="s">
        <v>138</v>
      </c>
      <c r="J3852" s="17">
        <v>16.513978393011001</v>
      </c>
      <c r="K3852" s="17">
        <v>-96.489270732872001</v>
      </c>
      <c r="L3852" s="17" t="str">
        <f>HYPERLINK("https://maps.google.com/?q=16.513978393011,-96.489270732872", "🔗 Ver Mapa")</f>
        <v>🔗 Ver Mapa</v>
      </c>
    </row>
    <row r="3853" spans="1:12" ht="58" x14ac:dyDescent="0.35">
      <c r="A3853" s="5" t="s">
        <v>1</v>
      </c>
      <c r="B3853" s="5" t="s">
        <v>14</v>
      </c>
      <c r="C3853" s="5" t="s">
        <v>1578</v>
      </c>
      <c r="D3853" s="8" t="s">
        <v>61</v>
      </c>
      <c r="E3853" s="16" t="s">
        <v>75</v>
      </c>
      <c r="F3853" s="16" t="s">
        <v>84</v>
      </c>
      <c r="G3853" s="8" t="s">
        <v>1579</v>
      </c>
      <c r="H3853" s="8" t="s">
        <v>1580</v>
      </c>
      <c r="I3853" s="16" t="s">
        <v>138</v>
      </c>
      <c r="J3853" s="16">
        <v>16.595472000000001</v>
      </c>
      <c r="K3853" s="16">
        <v>-96.451650999999998</v>
      </c>
      <c r="L3853" s="16" t="str">
        <f>HYPERLINK("https://maps.google.com/?q=16.595472,-96.451651", "🔗 Ver Mapa")</f>
        <v>🔗 Ver Mapa</v>
      </c>
    </row>
    <row r="3854" spans="1:12" ht="43.5" x14ac:dyDescent="0.35">
      <c r="A3854" s="6" t="s">
        <v>1</v>
      </c>
      <c r="B3854" s="6" t="s">
        <v>14</v>
      </c>
      <c r="C3854" s="6" t="s">
        <v>1581</v>
      </c>
      <c r="D3854" s="11" t="s">
        <v>61</v>
      </c>
      <c r="E3854" s="17" t="s">
        <v>75</v>
      </c>
      <c r="F3854" s="17" t="s">
        <v>86</v>
      </c>
      <c r="G3854" s="11" t="s">
        <v>804</v>
      </c>
      <c r="H3854" s="11" t="s">
        <v>1582</v>
      </c>
      <c r="I3854" s="17" t="s">
        <v>138</v>
      </c>
      <c r="J3854" s="17">
        <v>16.998925</v>
      </c>
      <c r="K3854" s="17">
        <v>-96.768024999999994</v>
      </c>
      <c r="L3854" s="17" t="str">
        <f>HYPERLINK("https://maps.google.com/?q=16.998925,-96.768025", "🔗 Ver Mapa")</f>
        <v>🔗 Ver Mapa</v>
      </c>
    </row>
    <row r="3855" spans="1:12" ht="43.5" x14ac:dyDescent="0.35">
      <c r="A3855" s="5" t="s">
        <v>1</v>
      </c>
      <c r="B3855" s="5" t="s">
        <v>14</v>
      </c>
      <c r="C3855" s="5" t="s">
        <v>1583</v>
      </c>
      <c r="D3855" s="8" t="s">
        <v>61</v>
      </c>
      <c r="E3855" s="16" t="s">
        <v>74</v>
      </c>
      <c r="F3855" s="16" t="s">
        <v>453</v>
      </c>
      <c r="G3855" s="8" t="s">
        <v>1259</v>
      </c>
      <c r="H3855" s="8" t="s">
        <v>1584</v>
      </c>
      <c r="I3855" s="16" t="s">
        <v>138</v>
      </c>
      <c r="J3855" s="16">
        <v>15.951199000000001</v>
      </c>
      <c r="K3855" s="16">
        <v>-97.284133999999995</v>
      </c>
      <c r="L3855" s="16" t="str">
        <f>HYPERLINK("https://maps.google.com/?q=15.951199,-97.284134", "🔗 Ver Mapa")</f>
        <v>🔗 Ver Mapa</v>
      </c>
    </row>
    <row r="3856" spans="1:12" ht="58" x14ac:dyDescent="0.35">
      <c r="A3856" s="6" t="s">
        <v>1</v>
      </c>
      <c r="B3856" s="6" t="s">
        <v>14</v>
      </c>
      <c r="C3856" s="6" t="s">
        <v>1585</v>
      </c>
      <c r="D3856" s="11" t="s">
        <v>61</v>
      </c>
      <c r="E3856" s="17" t="s">
        <v>75</v>
      </c>
      <c r="F3856" s="17" t="s">
        <v>87</v>
      </c>
      <c r="G3856" s="11" t="s">
        <v>105</v>
      </c>
      <c r="H3856" s="11" t="s">
        <v>1586</v>
      </c>
      <c r="I3856" s="17" t="s">
        <v>138</v>
      </c>
      <c r="J3856" s="17">
        <v>17.235144814893999</v>
      </c>
      <c r="K3856" s="17">
        <v>-96.869440656852007</v>
      </c>
      <c r="L3856" s="17" t="str">
        <f>HYPERLINK("https://maps.google.com/?q=17.235144814894,-96.869440656852", "🔗 Ver Mapa")</f>
        <v>🔗 Ver Mapa</v>
      </c>
    </row>
    <row r="3857" spans="1:12" ht="58" x14ac:dyDescent="0.35">
      <c r="A3857" s="5" t="s">
        <v>1</v>
      </c>
      <c r="B3857" s="5" t="s">
        <v>14</v>
      </c>
      <c r="C3857" s="5" t="s">
        <v>1587</v>
      </c>
      <c r="D3857" s="8" t="s">
        <v>61</v>
      </c>
      <c r="E3857" s="16" t="s">
        <v>79</v>
      </c>
      <c r="F3857" s="16" t="s">
        <v>390</v>
      </c>
      <c r="G3857" s="8" t="s">
        <v>796</v>
      </c>
      <c r="H3857" s="8" t="s">
        <v>1588</v>
      </c>
      <c r="I3857" s="16" t="s">
        <v>138</v>
      </c>
      <c r="J3857" s="16">
        <v>17.031601118148998</v>
      </c>
      <c r="K3857" s="16">
        <v>-97.959300153540994</v>
      </c>
      <c r="L3857" s="16" t="str">
        <f>HYPERLINK("https://maps.google.com/?q=17.031601118149,-97.959300153541", "🔗 Ver Mapa")</f>
        <v>🔗 Ver Mapa</v>
      </c>
    </row>
    <row r="3858" spans="1:12" ht="58" x14ac:dyDescent="0.35">
      <c r="A3858" s="6" t="s">
        <v>1</v>
      </c>
      <c r="B3858" s="6" t="s">
        <v>14</v>
      </c>
      <c r="C3858" s="6" t="s">
        <v>1589</v>
      </c>
      <c r="D3858" s="11" t="s">
        <v>61</v>
      </c>
      <c r="E3858" s="17" t="s">
        <v>74</v>
      </c>
      <c r="F3858" s="17" t="s">
        <v>82</v>
      </c>
      <c r="G3858" s="11" t="s">
        <v>855</v>
      </c>
      <c r="H3858" s="11" t="s">
        <v>1590</v>
      </c>
      <c r="I3858" s="17" t="s">
        <v>138</v>
      </c>
      <c r="J3858" s="17">
        <v>16.193698999999999</v>
      </c>
      <c r="K3858" s="17">
        <v>-97.926182999999995</v>
      </c>
      <c r="L3858" s="17" t="str">
        <f>HYPERLINK("https://maps.google.com/?q=16.193699,-97.926183", "🔗 Ver Mapa")</f>
        <v>🔗 Ver Mapa</v>
      </c>
    </row>
    <row r="3859" spans="1:12" ht="58" x14ac:dyDescent="0.35">
      <c r="A3859" s="5" t="s">
        <v>1</v>
      </c>
      <c r="B3859" s="5" t="s">
        <v>14</v>
      </c>
      <c r="C3859" s="5" t="s">
        <v>1591</v>
      </c>
      <c r="D3859" s="8" t="s">
        <v>61</v>
      </c>
      <c r="E3859" s="16" t="s">
        <v>75</v>
      </c>
      <c r="F3859" s="16" t="s">
        <v>86</v>
      </c>
      <c r="G3859" s="8" t="s">
        <v>804</v>
      </c>
      <c r="H3859" s="8" t="s">
        <v>1592</v>
      </c>
      <c r="I3859" s="16" t="s">
        <v>138</v>
      </c>
      <c r="J3859" s="16">
        <v>16.986428223419001</v>
      </c>
      <c r="K3859" s="16">
        <v>-96.761959390778998</v>
      </c>
      <c r="L3859" s="16" t="str">
        <f>HYPERLINK("https://maps.google.com/?q=16.986428223419,-96.761959390779", "🔗 Ver Mapa")</f>
        <v>🔗 Ver Mapa</v>
      </c>
    </row>
    <row r="3860" spans="1:12" ht="58" x14ac:dyDescent="0.35">
      <c r="A3860" s="6" t="s">
        <v>1</v>
      </c>
      <c r="B3860" s="6" t="s">
        <v>14</v>
      </c>
      <c r="C3860" s="6" t="s">
        <v>1593</v>
      </c>
      <c r="D3860" s="11" t="s">
        <v>61</v>
      </c>
      <c r="E3860" s="17" t="s">
        <v>79</v>
      </c>
      <c r="F3860" s="17" t="s">
        <v>91</v>
      </c>
      <c r="G3860" s="11" t="s">
        <v>733</v>
      </c>
      <c r="H3860" s="11" t="s">
        <v>1594</v>
      </c>
      <c r="I3860" s="17" t="s">
        <v>138</v>
      </c>
      <c r="J3860" s="17">
        <v>16.619050000000001</v>
      </c>
      <c r="K3860" s="17">
        <v>-97.562234000000004</v>
      </c>
      <c r="L3860" s="17" t="str">
        <f>HYPERLINK("https://maps.google.com/?q=16.61905,-97.562234", "🔗 Ver Mapa")</f>
        <v>🔗 Ver Mapa</v>
      </c>
    </row>
    <row r="3861" spans="1:12" ht="58" x14ac:dyDescent="0.35">
      <c r="A3861" s="5" t="s">
        <v>1</v>
      </c>
      <c r="B3861" s="5" t="s">
        <v>14</v>
      </c>
      <c r="C3861" s="5" t="s">
        <v>1595</v>
      </c>
      <c r="D3861" s="8" t="s">
        <v>61</v>
      </c>
      <c r="E3861" s="16" t="s">
        <v>79</v>
      </c>
      <c r="F3861" s="16" t="s">
        <v>91</v>
      </c>
      <c r="G3861" s="8" t="s">
        <v>1352</v>
      </c>
      <c r="H3861" s="8" t="s">
        <v>1353</v>
      </c>
      <c r="I3861" s="16" t="s">
        <v>138</v>
      </c>
      <c r="J3861" s="16">
        <v>16.637794358509002</v>
      </c>
      <c r="K3861" s="16">
        <v>-97.038973105384002</v>
      </c>
      <c r="L3861" s="16" t="str">
        <f>HYPERLINK("https://maps.google.com/?q=16.637794358509,-97.038973105384", "🔗 Ver Mapa")</f>
        <v>🔗 Ver Mapa</v>
      </c>
    </row>
    <row r="3862" spans="1:12" ht="58" x14ac:dyDescent="0.35">
      <c r="A3862" s="6" t="s">
        <v>1</v>
      </c>
      <c r="B3862" s="6" t="s">
        <v>14</v>
      </c>
      <c r="C3862" s="6" t="s">
        <v>1596</v>
      </c>
      <c r="D3862" s="11" t="s">
        <v>61</v>
      </c>
      <c r="E3862" s="17" t="s">
        <v>75</v>
      </c>
      <c r="F3862" s="17" t="s">
        <v>156</v>
      </c>
      <c r="G3862" s="11" t="s">
        <v>751</v>
      </c>
      <c r="H3862" s="11" t="s">
        <v>1597</v>
      </c>
      <c r="I3862" s="17" t="s">
        <v>138</v>
      </c>
      <c r="J3862" s="17">
        <v>16.493380731679</v>
      </c>
      <c r="K3862" s="17">
        <v>-96.735159940063994</v>
      </c>
      <c r="L3862" s="17" t="str">
        <f>HYPERLINK("https://maps.google.com/?q=16.493380731679,-96.735159940064", "🔗 Ver Mapa")</f>
        <v>🔗 Ver Mapa</v>
      </c>
    </row>
    <row r="3863" spans="1:12" ht="43.5" x14ac:dyDescent="0.35">
      <c r="A3863" s="5" t="s">
        <v>1</v>
      </c>
      <c r="B3863" s="5" t="s">
        <v>14</v>
      </c>
      <c r="C3863" s="5" t="s">
        <v>1598</v>
      </c>
      <c r="D3863" s="8" t="s">
        <v>61</v>
      </c>
      <c r="E3863" s="16" t="s">
        <v>79</v>
      </c>
      <c r="F3863" s="16" t="s">
        <v>91</v>
      </c>
      <c r="G3863" s="8" t="s">
        <v>733</v>
      </c>
      <c r="H3863" s="8" t="s">
        <v>1599</v>
      </c>
      <c r="I3863" s="16" t="s">
        <v>138</v>
      </c>
      <c r="J3863" s="16">
        <v>16.634938678579001</v>
      </c>
      <c r="K3863" s="16">
        <v>-97.578025647908007</v>
      </c>
      <c r="L3863" s="16" t="str">
        <f>HYPERLINK("https://maps.google.com/?q=16.634938678579,-97.578025647908", "🔗 Ver Mapa")</f>
        <v>🔗 Ver Mapa</v>
      </c>
    </row>
    <row r="3864" spans="1:12" ht="58" x14ac:dyDescent="0.35">
      <c r="A3864" s="6" t="s">
        <v>1</v>
      </c>
      <c r="B3864" s="6" t="s">
        <v>14</v>
      </c>
      <c r="C3864" s="6" t="s">
        <v>1600</v>
      </c>
      <c r="D3864" s="11" t="s">
        <v>61</v>
      </c>
      <c r="E3864" s="17" t="s">
        <v>79</v>
      </c>
      <c r="F3864" s="17" t="s">
        <v>91</v>
      </c>
      <c r="G3864" s="11" t="s">
        <v>733</v>
      </c>
      <c r="H3864" s="11" t="s">
        <v>1601</v>
      </c>
      <c r="I3864" s="17" t="s">
        <v>138</v>
      </c>
      <c r="J3864" s="17">
        <v>16.642027826155001</v>
      </c>
      <c r="K3864" s="17">
        <v>-97.481847964446999</v>
      </c>
      <c r="L3864" s="17" t="str">
        <f>HYPERLINK("https://maps.google.com/?q=16.642027826155,-97.481847964447", "🔗 Ver Mapa")</f>
        <v>🔗 Ver Mapa</v>
      </c>
    </row>
    <row r="3865" spans="1:12" ht="58" x14ac:dyDescent="0.35">
      <c r="A3865" s="5" t="s">
        <v>291</v>
      </c>
      <c r="B3865" s="5" t="s">
        <v>292</v>
      </c>
      <c r="C3865" s="5" t="s">
        <v>1602</v>
      </c>
      <c r="D3865" s="8" t="s">
        <v>64</v>
      </c>
      <c r="E3865" s="16" t="s">
        <v>75</v>
      </c>
      <c r="F3865" s="16" t="s">
        <v>86</v>
      </c>
      <c r="G3865" s="8" t="s">
        <v>807</v>
      </c>
      <c r="H3865" s="8" t="s">
        <v>808</v>
      </c>
      <c r="I3865" s="16" t="s">
        <v>296</v>
      </c>
      <c r="J3865" s="16">
        <v>17.021285163816</v>
      </c>
      <c r="K3865" s="16">
        <v>-96.711237453224001</v>
      </c>
      <c r="L3865" s="16" t="str">
        <f>HYPERLINK("https://maps.google.com/?q=17.021285163816,-96.711237453224", "🔗 Ver Mapa")</f>
        <v>🔗 Ver Mapa</v>
      </c>
    </row>
    <row r="3866" spans="1:12" ht="58" x14ac:dyDescent="0.35">
      <c r="A3866" s="6" t="s">
        <v>291</v>
      </c>
      <c r="B3866" s="6" t="s">
        <v>292</v>
      </c>
      <c r="C3866" s="6" t="s">
        <v>1602</v>
      </c>
      <c r="D3866" s="11" t="s">
        <v>64</v>
      </c>
      <c r="E3866" s="17" t="s">
        <v>75</v>
      </c>
      <c r="F3866" s="17" t="s">
        <v>86</v>
      </c>
      <c r="G3866" s="11" t="s">
        <v>807</v>
      </c>
      <c r="H3866" s="11" t="s">
        <v>808</v>
      </c>
      <c r="I3866" s="17" t="s">
        <v>296</v>
      </c>
      <c r="J3866" s="17">
        <v>17.021727108512</v>
      </c>
      <c r="K3866" s="17">
        <v>-96.711152850258998</v>
      </c>
      <c r="L3866" s="17" t="str">
        <f>HYPERLINK("https://maps.google.com/?q=17.021727108512,-96.711152850259", "🔗 Ver Mapa")</f>
        <v>🔗 Ver Mapa</v>
      </c>
    </row>
    <row r="3867" spans="1:12" ht="58" x14ac:dyDescent="0.35">
      <c r="A3867" s="5" t="s">
        <v>291</v>
      </c>
      <c r="B3867" s="5" t="s">
        <v>292</v>
      </c>
      <c r="C3867" s="5" t="s">
        <v>1602</v>
      </c>
      <c r="D3867" s="8" t="s">
        <v>64</v>
      </c>
      <c r="E3867" s="16" t="s">
        <v>75</v>
      </c>
      <c r="F3867" s="16" t="s">
        <v>86</v>
      </c>
      <c r="G3867" s="8" t="s">
        <v>807</v>
      </c>
      <c r="H3867" s="8" t="s">
        <v>808</v>
      </c>
      <c r="I3867" s="16" t="s">
        <v>296</v>
      </c>
      <c r="J3867" s="16">
        <v>17.022597521384998</v>
      </c>
      <c r="K3867" s="16">
        <v>-96.710942291338</v>
      </c>
      <c r="L3867" s="16" t="str">
        <f>HYPERLINK("https://maps.google.com/?q=17.022597521385,-96.710942291338", "🔗 Ver Mapa")</f>
        <v>🔗 Ver Mapa</v>
      </c>
    </row>
    <row r="3868" spans="1:12" ht="58" x14ac:dyDescent="0.35">
      <c r="A3868" s="6" t="s">
        <v>291</v>
      </c>
      <c r="B3868" s="6" t="s">
        <v>292</v>
      </c>
      <c r="C3868" s="6" t="s">
        <v>1602</v>
      </c>
      <c r="D3868" s="11" t="s">
        <v>64</v>
      </c>
      <c r="E3868" s="17" t="s">
        <v>75</v>
      </c>
      <c r="F3868" s="17" t="s">
        <v>86</v>
      </c>
      <c r="G3868" s="11" t="s">
        <v>807</v>
      </c>
      <c r="H3868" s="11" t="s">
        <v>808</v>
      </c>
      <c r="I3868" s="17" t="s">
        <v>296</v>
      </c>
      <c r="J3868" s="17">
        <v>17.023331024084001</v>
      </c>
      <c r="K3868" s="17">
        <v>-96.710780017686005</v>
      </c>
      <c r="L3868" s="17" t="str">
        <f>HYPERLINK("https://maps.google.com/?q=17.023331024084,-96.710780017686", "🔗 Ver Mapa")</f>
        <v>🔗 Ver Mapa</v>
      </c>
    </row>
    <row r="3869" spans="1:12" ht="58" x14ac:dyDescent="0.35">
      <c r="A3869" s="5" t="s">
        <v>291</v>
      </c>
      <c r="B3869" s="5" t="s">
        <v>292</v>
      </c>
      <c r="C3869" s="5" t="s">
        <v>1602</v>
      </c>
      <c r="D3869" s="8" t="s">
        <v>64</v>
      </c>
      <c r="E3869" s="16" t="s">
        <v>75</v>
      </c>
      <c r="F3869" s="16" t="s">
        <v>86</v>
      </c>
      <c r="G3869" s="8" t="s">
        <v>807</v>
      </c>
      <c r="H3869" s="8" t="s">
        <v>808</v>
      </c>
      <c r="I3869" s="16" t="s">
        <v>296</v>
      </c>
      <c r="J3869" s="16">
        <v>17.024504408997</v>
      </c>
      <c r="K3869" s="16">
        <v>-96.710569562225004</v>
      </c>
      <c r="L3869" s="16" t="str">
        <f>HYPERLINK("https://maps.google.com/?q=17.024504408997,-96.710569562225", "🔗 Ver Mapa")</f>
        <v>🔗 Ver Mapa</v>
      </c>
    </row>
    <row r="3870" spans="1:12" ht="58" x14ac:dyDescent="0.35">
      <c r="A3870" s="6" t="s">
        <v>291</v>
      </c>
      <c r="B3870" s="6" t="s">
        <v>292</v>
      </c>
      <c r="C3870" s="6" t="s">
        <v>1602</v>
      </c>
      <c r="D3870" s="11" t="s">
        <v>64</v>
      </c>
      <c r="E3870" s="17" t="s">
        <v>75</v>
      </c>
      <c r="F3870" s="17" t="s">
        <v>86</v>
      </c>
      <c r="G3870" s="11" t="s">
        <v>807</v>
      </c>
      <c r="H3870" s="11" t="s">
        <v>808</v>
      </c>
      <c r="I3870" s="17" t="s">
        <v>296</v>
      </c>
      <c r="J3870" s="17">
        <v>17.025015443234</v>
      </c>
      <c r="K3870" s="17">
        <v>-96.710458127438002</v>
      </c>
      <c r="L3870" s="17" t="str">
        <f>HYPERLINK("https://maps.google.com/?q=17.025015443234,-96.710458127438", "🔗 Ver Mapa")</f>
        <v>🔗 Ver Mapa</v>
      </c>
    </row>
    <row r="3871" spans="1:12" ht="58" x14ac:dyDescent="0.35">
      <c r="A3871" s="5" t="s">
        <v>291</v>
      </c>
      <c r="B3871" s="5" t="s">
        <v>292</v>
      </c>
      <c r="C3871" s="5" t="s">
        <v>1602</v>
      </c>
      <c r="D3871" s="8" t="s">
        <v>64</v>
      </c>
      <c r="E3871" s="16" t="s">
        <v>75</v>
      </c>
      <c r="F3871" s="16" t="s">
        <v>86</v>
      </c>
      <c r="G3871" s="8" t="s">
        <v>807</v>
      </c>
      <c r="H3871" s="8" t="s">
        <v>808</v>
      </c>
      <c r="I3871" s="16" t="s">
        <v>296</v>
      </c>
      <c r="J3871" s="16">
        <v>17.025193364210001</v>
      </c>
      <c r="K3871" s="16">
        <v>-96.710462638357996</v>
      </c>
      <c r="L3871" s="16" t="str">
        <f>HYPERLINK("https://maps.google.com/?q=17.02519336421,-96.710462638358", "🔗 Ver Mapa")</f>
        <v>🔗 Ver Mapa</v>
      </c>
    </row>
    <row r="3872" spans="1:12" ht="58" x14ac:dyDescent="0.35">
      <c r="A3872" s="6" t="s">
        <v>291</v>
      </c>
      <c r="B3872" s="6" t="s">
        <v>292</v>
      </c>
      <c r="C3872" s="6" t="s">
        <v>1602</v>
      </c>
      <c r="D3872" s="11" t="s">
        <v>64</v>
      </c>
      <c r="E3872" s="17" t="s">
        <v>75</v>
      </c>
      <c r="F3872" s="17" t="s">
        <v>86</v>
      </c>
      <c r="G3872" s="11" t="s">
        <v>807</v>
      </c>
      <c r="H3872" s="11" t="s">
        <v>808</v>
      </c>
      <c r="I3872" s="17" t="s">
        <v>296</v>
      </c>
      <c r="J3872" s="17">
        <v>17.026605454946999</v>
      </c>
      <c r="K3872" s="17">
        <v>-96.710117280164994</v>
      </c>
      <c r="L3872" s="17" t="str">
        <f>HYPERLINK("https://maps.google.com/?q=17.026605454947,-96.710117280165", "🔗 Ver Mapa")</f>
        <v>🔗 Ver Mapa</v>
      </c>
    </row>
    <row r="3873" spans="1:12" ht="58" x14ac:dyDescent="0.35">
      <c r="A3873" s="5" t="s">
        <v>291</v>
      </c>
      <c r="B3873" s="5" t="s">
        <v>292</v>
      </c>
      <c r="C3873" s="5" t="s">
        <v>1602</v>
      </c>
      <c r="D3873" s="8" t="s">
        <v>64</v>
      </c>
      <c r="E3873" s="16" t="s">
        <v>75</v>
      </c>
      <c r="F3873" s="16" t="s">
        <v>86</v>
      </c>
      <c r="G3873" s="8" t="s">
        <v>807</v>
      </c>
      <c r="H3873" s="8" t="s">
        <v>808</v>
      </c>
      <c r="I3873" s="16" t="s">
        <v>296</v>
      </c>
      <c r="J3873" s="16">
        <v>17.027594944289</v>
      </c>
      <c r="K3873" s="16">
        <v>-96.709912311989001</v>
      </c>
      <c r="L3873" s="16" t="str">
        <f>HYPERLINK("https://maps.google.com/?q=17.027594944289,-96.709912311989", "🔗 Ver Mapa")</f>
        <v>🔗 Ver Mapa</v>
      </c>
    </row>
    <row r="3874" spans="1:12" ht="58" x14ac:dyDescent="0.35">
      <c r="A3874" s="6" t="s">
        <v>291</v>
      </c>
      <c r="B3874" s="6" t="s">
        <v>292</v>
      </c>
      <c r="C3874" s="6" t="s">
        <v>1602</v>
      </c>
      <c r="D3874" s="11" t="s">
        <v>64</v>
      </c>
      <c r="E3874" s="17" t="s">
        <v>75</v>
      </c>
      <c r="F3874" s="17" t="s">
        <v>86</v>
      </c>
      <c r="G3874" s="11" t="s">
        <v>807</v>
      </c>
      <c r="H3874" s="11" t="s">
        <v>808</v>
      </c>
      <c r="I3874" s="17" t="s">
        <v>296</v>
      </c>
      <c r="J3874" s="17">
        <v>17.027881676431001</v>
      </c>
      <c r="K3874" s="17">
        <v>-96.710029554130003</v>
      </c>
      <c r="L3874" s="17" t="str">
        <f>HYPERLINK("https://maps.google.com/?q=17.027881676431,-96.71002955413", "🔗 Ver Mapa")</f>
        <v>🔗 Ver Mapa</v>
      </c>
    </row>
    <row r="3875" spans="1:12" ht="58" x14ac:dyDescent="0.35">
      <c r="A3875" s="5" t="s">
        <v>291</v>
      </c>
      <c r="B3875" s="5" t="s">
        <v>292</v>
      </c>
      <c r="C3875" s="5" t="s">
        <v>1602</v>
      </c>
      <c r="D3875" s="8" t="s">
        <v>64</v>
      </c>
      <c r="E3875" s="16" t="s">
        <v>75</v>
      </c>
      <c r="F3875" s="16" t="s">
        <v>86</v>
      </c>
      <c r="G3875" s="8" t="s">
        <v>807</v>
      </c>
      <c r="H3875" s="8" t="s">
        <v>808</v>
      </c>
      <c r="I3875" s="16" t="s">
        <v>296</v>
      </c>
      <c r="J3875" s="16">
        <v>17.028077905031001</v>
      </c>
      <c r="K3875" s="16">
        <v>-96.710146080358996</v>
      </c>
      <c r="L3875" s="16" t="str">
        <f>HYPERLINK("https://maps.google.com/?q=17.028077905031,-96.710146080359", "🔗 Ver Mapa")</f>
        <v>🔗 Ver Mapa</v>
      </c>
    </row>
    <row r="3876" spans="1:12" ht="58" x14ac:dyDescent="0.35">
      <c r="A3876" s="6" t="s">
        <v>291</v>
      </c>
      <c r="B3876" s="6" t="s">
        <v>292</v>
      </c>
      <c r="C3876" s="6" t="s">
        <v>1602</v>
      </c>
      <c r="D3876" s="11" t="s">
        <v>64</v>
      </c>
      <c r="E3876" s="17" t="s">
        <v>75</v>
      </c>
      <c r="F3876" s="17" t="s">
        <v>86</v>
      </c>
      <c r="G3876" s="11" t="s">
        <v>807</v>
      </c>
      <c r="H3876" s="11" t="s">
        <v>808</v>
      </c>
      <c r="I3876" s="17" t="s">
        <v>296</v>
      </c>
      <c r="J3876" s="17">
        <v>17.028501464714999</v>
      </c>
      <c r="K3876" s="17">
        <v>-96.710397561383004</v>
      </c>
      <c r="L3876" s="17" t="str">
        <f>HYPERLINK("https://maps.google.com/?q=17.028501464715,-96.710397561383", "🔗 Ver Mapa")</f>
        <v>🔗 Ver Mapa</v>
      </c>
    </row>
    <row r="3877" spans="1:12" ht="58" x14ac:dyDescent="0.35">
      <c r="A3877" s="5" t="s">
        <v>291</v>
      </c>
      <c r="B3877" s="5" t="s">
        <v>292</v>
      </c>
      <c r="C3877" s="5" t="s">
        <v>1602</v>
      </c>
      <c r="D3877" s="8" t="s">
        <v>64</v>
      </c>
      <c r="E3877" s="16" t="s">
        <v>75</v>
      </c>
      <c r="F3877" s="16" t="s">
        <v>86</v>
      </c>
      <c r="G3877" s="8" t="s">
        <v>807</v>
      </c>
      <c r="H3877" s="8" t="s">
        <v>808</v>
      </c>
      <c r="I3877" s="16" t="s">
        <v>296</v>
      </c>
      <c r="J3877" s="16">
        <v>17.028667870475001</v>
      </c>
      <c r="K3877" s="16">
        <v>-96.710540884902002</v>
      </c>
      <c r="L3877" s="16" t="str">
        <f>HYPERLINK("https://maps.google.com/?q=17.028667870475,-96.710540884902", "🔗 Ver Mapa")</f>
        <v>🔗 Ver Mapa</v>
      </c>
    </row>
    <row r="3878" spans="1:12" ht="58" x14ac:dyDescent="0.35">
      <c r="A3878" s="6" t="s">
        <v>291</v>
      </c>
      <c r="B3878" s="6" t="s">
        <v>292</v>
      </c>
      <c r="C3878" s="6" t="s">
        <v>1602</v>
      </c>
      <c r="D3878" s="11" t="s">
        <v>64</v>
      </c>
      <c r="E3878" s="17" t="s">
        <v>75</v>
      </c>
      <c r="F3878" s="17" t="s">
        <v>86</v>
      </c>
      <c r="G3878" s="11" t="s">
        <v>807</v>
      </c>
      <c r="H3878" s="11" t="s">
        <v>808</v>
      </c>
      <c r="I3878" s="17" t="s">
        <v>296</v>
      </c>
      <c r="J3878" s="17">
        <v>17.028981104433999</v>
      </c>
      <c r="K3878" s="17">
        <v>-96.710785119855004</v>
      </c>
      <c r="L3878" s="17" t="str">
        <f>HYPERLINK("https://maps.google.com/?q=17.028981104434,-96.710785119855", "🔗 Ver Mapa")</f>
        <v>🔗 Ver Mapa</v>
      </c>
    </row>
    <row r="3879" spans="1:12" ht="43.5" x14ac:dyDescent="0.35">
      <c r="A3879" s="5" t="s">
        <v>291</v>
      </c>
      <c r="B3879" s="5" t="s">
        <v>292</v>
      </c>
      <c r="C3879" s="5" t="s">
        <v>1603</v>
      </c>
      <c r="D3879" s="8" t="s">
        <v>64</v>
      </c>
      <c r="E3879" s="16" t="s">
        <v>75</v>
      </c>
      <c r="F3879" s="16" t="s">
        <v>86</v>
      </c>
      <c r="G3879" s="8" t="s">
        <v>557</v>
      </c>
      <c r="H3879" s="8" t="s">
        <v>558</v>
      </c>
      <c r="I3879" s="16" t="s">
        <v>296</v>
      </c>
      <c r="J3879" s="16">
        <v>17.060471891799999</v>
      </c>
      <c r="K3879" s="16">
        <v>-96.705499489999994</v>
      </c>
      <c r="L3879" s="16" t="str">
        <f>HYPERLINK("https://maps.google.com/?q=17.0604718918,-96.70549949", "🔗 Ver Mapa")</f>
        <v>🔗 Ver Mapa</v>
      </c>
    </row>
    <row r="3880" spans="1:12" ht="43.5" x14ac:dyDescent="0.35">
      <c r="A3880" s="6" t="s">
        <v>291</v>
      </c>
      <c r="B3880" s="6" t="s">
        <v>292</v>
      </c>
      <c r="C3880" s="6" t="s">
        <v>1603</v>
      </c>
      <c r="D3880" s="11" t="s">
        <v>64</v>
      </c>
      <c r="E3880" s="17" t="s">
        <v>75</v>
      </c>
      <c r="F3880" s="17" t="s">
        <v>86</v>
      </c>
      <c r="G3880" s="11" t="s">
        <v>557</v>
      </c>
      <c r="H3880" s="11" t="s">
        <v>558</v>
      </c>
      <c r="I3880" s="17" t="s">
        <v>296</v>
      </c>
      <c r="J3880" s="17">
        <v>17.06064009</v>
      </c>
      <c r="K3880" s="17">
        <v>-96.705614890000007</v>
      </c>
      <c r="L3880" s="17" t="str">
        <f>HYPERLINK("https://maps.google.com/?q=17.06064009,-96.70561489", "🔗 Ver Mapa")</f>
        <v>🔗 Ver Mapa</v>
      </c>
    </row>
    <row r="3881" spans="1:12" ht="43.5" x14ac:dyDescent="0.35">
      <c r="A3881" s="5" t="s">
        <v>291</v>
      </c>
      <c r="B3881" s="5" t="s">
        <v>292</v>
      </c>
      <c r="C3881" s="5" t="s">
        <v>1603</v>
      </c>
      <c r="D3881" s="8" t="s">
        <v>64</v>
      </c>
      <c r="E3881" s="16" t="s">
        <v>75</v>
      </c>
      <c r="F3881" s="16" t="s">
        <v>86</v>
      </c>
      <c r="G3881" s="8" t="s">
        <v>557</v>
      </c>
      <c r="H3881" s="8" t="s">
        <v>558</v>
      </c>
      <c r="I3881" s="16" t="s">
        <v>296</v>
      </c>
      <c r="J3881" s="16">
        <v>17.061059610000001</v>
      </c>
      <c r="K3881" s="16">
        <v>-96.705926379000005</v>
      </c>
      <c r="L3881" s="16" t="str">
        <f>HYPERLINK("https://maps.google.com/?q=17.06105961,-96.705926379", "🔗 Ver Mapa")</f>
        <v>🔗 Ver Mapa</v>
      </c>
    </row>
    <row r="3882" spans="1:12" ht="43.5" x14ac:dyDescent="0.35">
      <c r="A3882" s="6" t="s">
        <v>291</v>
      </c>
      <c r="B3882" s="6" t="s">
        <v>292</v>
      </c>
      <c r="C3882" s="6" t="s">
        <v>1603</v>
      </c>
      <c r="D3882" s="11" t="s">
        <v>64</v>
      </c>
      <c r="E3882" s="17" t="s">
        <v>75</v>
      </c>
      <c r="F3882" s="17" t="s">
        <v>86</v>
      </c>
      <c r="G3882" s="11" t="s">
        <v>557</v>
      </c>
      <c r="H3882" s="11" t="s">
        <v>558</v>
      </c>
      <c r="I3882" s="17" t="s">
        <v>296</v>
      </c>
      <c r="J3882" s="17">
        <v>17.061369874899999</v>
      </c>
      <c r="K3882" s="17">
        <v>-96.706161739999999</v>
      </c>
      <c r="L3882" s="17" t="str">
        <f>HYPERLINK("https://maps.google.com/?q=17.0613698749,-96.70616174", "🔗 Ver Mapa")</f>
        <v>🔗 Ver Mapa</v>
      </c>
    </row>
    <row r="3883" spans="1:12" ht="72.5" x14ac:dyDescent="0.35">
      <c r="A3883" s="5" t="s">
        <v>291</v>
      </c>
      <c r="B3883" s="5" t="s">
        <v>292</v>
      </c>
      <c r="C3883" s="5" t="s">
        <v>1604</v>
      </c>
      <c r="D3883" s="8" t="s">
        <v>64</v>
      </c>
      <c r="E3883" s="16" t="s">
        <v>75</v>
      </c>
      <c r="F3883" s="16" t="s">
        <v>86</v>
      </c>
      <c r="G3883" s="8" t="s">
        <v>112</v>
      </c>
      <c r="H3883" s="8" t="s">
        <v>295</v>
      </c>
      <c r="I3883" s="16" t="s">
        <v>296</v>
      </c>
      <c r="J3883" s="16">
        <v>17.033282643227999</v>
      </c>
      <c r="K3883" s="16">
        <v>-96.728292832123003</v>
      </c>
      <c r="L3883" s="16" t="str">
        <f>HYPERLINK("https://maps.google.com/?q=17.033282643228,-96.728292832123", "🔗 Ver Mapa")</f>
        <v>🔗 Ver Mapa</v>
      </c>
    </row>
    <row r="3884" spans="1:12" ht="72.5" x14ac:dyDescent="0.35">
      <c r="A3884" s="6" t="s">
        <v>291</v>
      </c>
      <c r="B3884" s="6" t="s">
        <v>292</v>
      </c>
      <c r="C3884" s="6" t="s">
        <v>1604</v>
      </c>
      <c r="D3884" s="11" t="s">
        <v>64</v>
      </c>
      <c r="E3884" s="17" t="s">
        <v>75</v>
      </c>
      <c r="F3884" s="17" t="s">
        <v>86</v>
      </c>
      <c r="G3884" s="11" t="s">
        <v>112</v>
      </c>
      <c r="H3884" s="11" t="s">
        <v>295</v>
      </c>
      <c r="I3884" s="17" t="s">
        <v>296</v>
      </c>
      <c r="J3884" s="17">
        <v>17.033292403930002</v>
      </c>
      <c r="K3884" s="17">
        <v>-96.728414880166994</v>
      </c>
      <c r="L3884" s="17" t="str">
        <f>HYPERLINK("https://maps.google.com/?q=17.03329240393,-96.728414880167", "🔗 Ver Mapa")</f>
        <v>🔗 Ver Mapa</v>
      </c>
    </row>
    <row r="3885" spans="1:12" ht="72.5" x14ac:dyDescent="0.35">
      <c r="A3885" s="5" t="s">
        <v>291</v>
      </c>
      <c r="B3885" s="5" t="s">
        <v>292</v>
      </c>
      <c r="C3885" s="5" t="s">
        <v>1604</v>
      </c>
      <c r="D3885" s="8" t="s">
        <v>64</v>
      </c>
      <c r="E3885" s="16" t="s">
        <v>75</v>
      </c>
      <c r="F3885" s="16" t="s">
        <v>86</v>
      </c>
      <c r="G3885" s="8" t="s">
        <v>112</v>
      </c>
      <c r="H3885" s="8" t="s">
        <v>295</v>
      </c>
      <c r="I3885" s="16" t="s">
        <v>296</v>
      </c>
      <c r="J3885" s="16">
        <v>17.033483324361999</v>
      </c>
      <c r="K3885" s="16">
        <v>-96.728263702473001</v>
      </c>
      <c r="L3885" s="16" t="str">
        <f>HYPERLINK("https://maps.google.com/?q=17.033483324362,-96.728263702473", "🔗 Ver Mapa")</f>
        <v>🔗 Ver Mapa</v>
      </c>
    </row>
    <row r="3886" spans="1:12" ht="72.5" x14ac:dyDescent="0.35">
      <c r="A3886" s="6" t="s">
        <v>291</v>
      </c>
      <c r="B3886" s="6" t="s">
        <v>292</v>
      </c>
      <c r="C3886" s="6" t="s">
        <v>1604</v>
      </c>
      <c r="D3886" s="11" t="s">
        <v>64</v>
      </c>
      <c r="E3886" s="17" t="s">
        <v>75</v>
      </c>
      <c r="F3886" s="17" t="s">
        <v>86</v>
      </c>
      <c r="G3886" s="11" t="s">
        <v>112</v>
      </c>
      <c r="H3886" s="11" t="s">
        <v>295</v>
      </c>
      <c r="I3886" s="17" t="s">
        <v>296</v>
      </c>
      <c r="J3886" s="17">
        <v>17.034010559533002</v>
      </c>
      <c r="K3886" s="17">
        <v>-96.728229307329002</v>
      </c>
      <c r="L3886" s="17" t="str">
        <f>HYPERLINK("https://maps.google.com/?q=17.034010559533,-96.728229307329", "🔗 Ver Mapa")</f>
        <v>🔗 Ver Mapa</v>
      </c>
    </row>
    <row r="3887" spans="1:12" ht="72.5" x14ac:dyDescent="0.35">
      <c r="A3887" s="5" t="s">
        <v>291</v>
      </c>
      <c r="B3887" s="5" t="s">
        <v>292</v>
      </c>
      <c r="C3887" s="5" t="s">
        <v>1604</v>
      </c>
      <c r="D3887" s="8" t="s">
        <v>64</v>
      </c>
      <c r="E3887" s="16" t="s">
        <v>75</v>
      </c>
      <c r="F3887" s="16" t="s">
        <v>86</v>
      </c>
      <c r="G3887" s="8" t="s">
        <v>112</v>
      </c>
      <c r="H3887" s="8" t="s">
        <v>295</v>
      </c>
      <c r="I3887" s="16" t="s">
        <v>296</v>
      </c>
      <c r="J3887" s="16">
        <v>17.034506324746001</v>
      </c>
      <c r="K3887" s="16">
        <v>-96.728238146454004</v>
      </c>
      <c r="L3887" s="16" t="str">
        <f>HYPERLINK("https://maps.google.com/?q=17.034506324746,-96.728238146454", "🔗 Ver Mapa")</f>
        <v>🔗 Ver Mapa</v>
      </c>
    </row>
    <row r="3888" spans="1:12" ht="72.5" x14ac:dyDescent="0.35">
      <c r="A3888" s="6" t="s">
        <v>291</v>
      </c>
      <c r="B3888" s="6" t="s">
        <v>292</v>
      </c>
      <c r="C3888" s="6" t="s">
        <v>1604</v>
      </c>
      <c r="D3888" s="11" t="s">
        <v>64</v>
      </c>
      <c r="E3888" s="17" t="s">
        <v>75</v>
      </c>
      <c r="F3888" s="17" t="s">
        <v>86</v>
      </c>
      <c r="G3888" s="11" t="s">
        <v>112</v>
      </c>
      <c r="H3888" s="11" t="s">
        <v>295</v>
      </c>
      <c r="I3888" s="17" t="s">
        <v>296</v>
      </c>
      <c r="J3888" s="17">
        <v>17.035195415905999</v>
      </c>
      <c r="K3888" s="17">
        <v>-96.728262802358998</v>
      </c>
      <c r="L3888" s="17" t="str">
        <f>HYPERLINK("https://maps.google.com/?q=17.035195415906,-96.728262802359", "🔗 Ver Mapa")</f>
        <v>🔗 Ver Mapa</v>
      </c>
    </row>
    <row r="3889" spans="1:12" ht="72.5" x14ac:dyDescent="0.35">
      <c r="A3889" s="5" t="s">
        <v>291</v>
      </c>
      <c r="B3889" s="5" t="s">
        <v>292</v>
      </c>
      <c r="C3889" s="5" t="s">
        <v>1604</v>
      </c>
      <c r="D3889" s="8" t="s">
        <v>64</v>
      </c>
      <c r="E3889" s="16" t="s">
        <v>75</v>
      </c>
      <c r="F3889" s="16" t="s">
        <v>86</v>
      </c>
      <c r="G3889" s="8" t="s">
        <v>112</v>
      </c>
      <c r="H3889" s="8" t="s">
        <v>295</v>
      </c>
      <c r="I3889" s="16" t="s">
        <v>296</v>
      </c>
      <c r="J3889" s="16">
        <v>17.035900832837999</v>
      </c>
      <c r="K3889" s="16">
        <v>-96.728294124309002</v>
      </c>
      <c r="L3889" s="16" t="str">
        <f>HYPERLINK("https://maps.google.com/?q=17.035900832838,-96.728294124309", "🔗 Ver Mapa")</f>
        <v>🔗 Ver Mapa</v>
      </c>
    </row>
    <row r="3890" spans="1:12" ht="72.5" x14ac:dyDescent="0.35">
      <c r="A3890" s="6" t="s">
        <v>291</v>
      </c>
      <c r="B3890" s="6" t="s">
        <v>292</v>
      </c>
      <c r="C3890" s="6" t="s">
        <v>1604</v>
      </c>
      <c r="D3890" s="11" t="s">
        <v>64</v>
      </c>
      <c r="E3890" s="17" t="s">
        <v>75</v>
      </c>
      <c r="F3890" s="17" t="s">
        <v>86</v>
      </c>
      <c r="G3890" s="11" t="s">
        <v>112</v>
      </c>
      <c r="H3890" s="11" t="s">
        <v>295</v>
      </c>
      <c r="I3890" s="17" t="s">
        <v>296</v>
      </c>
      <c r="J3890" s="17">
        <v>17.036208416840001</v>
      </c>
      <c r="K3890" s="17">
        <v>-96.728313829613995</v>
      </c>
      <c r="L3890" s="17" t="str">
        <f>HYPERLINK("https://maps.google.com/?q=17.03620841684,-96.728313829614", "🔗 Ver Mapa")</f>
        <v>🔗 Ver Mapa</v>
      </c>
    </row>
    <row r="3891" spans="1:12" ht="72.5" x14ac:dyDescent="0.35">
      <c r="A3891" s="5" t="s">
        <v>291</v>
      </c>
      <c r="B3891" s="5" t="s">
        <v>292</v>
      </c>
      <c r="C3891" s="5" t="s">
        <v>1604</v>
      </c>
      <c r="D3891" s="8" t="s">
        <v>64</v>
      </c>
      <c r="E3891" s="16" t="s">
        <v>75</v>
      </c>
      <c r="F3891" s="16" t="s">
        <v>86</v>
      </c>
      <c r="G3891" s="8" t="s">
        <v>112</v>
      </c>
      <c r="H3891" s="8" t="s">
        <v>295</v>
      </c>
      <c r="I3891" s="16" t="s">
        <v>296</v>
      </c>
      <c r="J3891" s="16">
        <v>17.036751271816001</v>
      </c>
      <c r="K3891" s="16">
        <v>-96.728311645033003</v>
      </c>
      <c r="L3891" s="16" t="str">
        <f>HYPERLINK("https://maps.google.com/?q=17.036751271816,-96.728311645033", "🔗 Ver Mapa")</f>
        <v>🔗 Ver Mapa</v>
      </c>
    </row>
    <row r="3892" spans="1:12" ht="72.5" x14ac:dyDescent="0.35">
      <c r="A3892" s="6" t="s">
        <v>291</v>
      </c>
      <c r="B3892" s="6" t="s">
        <v>292</v>
      </c>
      <c r="C3892" s="6" t="s">
        <v>1604</v>
      </c>
      <c r="D3892" s="11" t="s">
        <v>64</v>
      </c>
      <c r="E3892" s="17" t="s">
        <v>75</v>
      </c>
      <c r="F3892" s="17" t="s">
        <v>86</v>
      </c>
      <c r="G3892" s="11" t="s">
        <v>112</v>
      </c>
      <c r="H3892" s="11" t="s">
        <v>295</v>
      </c>
      <c r="I3892" s="17" t="s">
        <v>296</v>
      </c>
      <c r="J3892" s="17">
        <v>17.036888592438999</v>
      </c>
      <c r="K3892" s="17">
        <v>-96.728367404661</v>
      </c>
      <c r="L3892" s="17" t="str">
        <f>HYPERLINK("https://maps.google.com/?q=17.036888592439,-96.728367404661", "🔗 Ver Mapa")</f>
        <v>🔗 Ver Mapa</v>
      </c>
    </row>
    <row r="3893" spans="1:12" ht="72.5" x14ac:dyDescent="0.35">
      <c r="A3893" s="5" t="s">
        <v>291</v>
      </c>
      <c r="B3893" s="5" t="s">
        <v>292</v>
      </c>
      <c r="C3893" s="5" t="s">
        <v>1604</v>
      </c>
      <c r="D3893" s="8" t="s">
        <v>64</v>
      </c>
      <c r="E3893" s="16" t="s">
        <v>75</v>
      </c>
      <c r="F3893" s="16" t="s">
        <v>86</v>
      </c>
      <c r="G3893" s="8" t="s">
        <v>112</v>
      </c>
      <c r="H3893" s="8" t="s">
        <v>295</v>
      </c>
      <c r="I3893" s="16" t="s">
        <v>296</v>
      </c>
      <c r="J3893" s="16">
        <v>17.037415256488998</v>
      </c>
      <c r="K3893" s="16">
        <v>-96.728426543661001</v>
      </c>
      <c r="L3893" s="16" t="str">
        <f>HYPERLINK("https://maps.google.com/?q=17.037415256489,-96.728426543661", "🔗 Ver Mapa")</f>
        <v>🔗 Ver Mapa</v>
      </c>
    </row>
    <row r="3894" spans="1:12" ht="72.5" x14ac:dyDescent="0.35">
      <c r="A3894" s="6" t="s">
        <v>291</v>
      </c>
      <c r="B3894" s="6" t="s">
        <v>292</v>
      </c>
      <c r="C3894" s="6" t="s">
        <v>1604</v>
      </c>
      <c r="D3894" s="11" t="s">
        <v>64</v>
      </c>
      <c r="E3894" s="17" t="s">
        <v>75</v>
      </c>
      <c r="F3894" s="17" t="s">
        <v>86</v>
      </c>
      <c r="G3894" s="11" t="s">
        <v>112</v>
      </c>
      <c r="H3894" s="11" t="s">
        <v>295</v>
      </c>
      <c r="I3894" s="17" t="s">
        <v>296</v>
      </c>
      <c r="J3894" s="17">
        <v>17.038742604511999</v>
      </c>
      <c r="K3894" s="17">
        <v>-96.728653161964004</v>
      </c>
      <c r="L3894" s="17" t="str">
        <f>HYPERLINK("https://maps.google.com/?q=17.038742604512,-96.728653161964", "🔗 Ver Mapa")</f>
        <v>🔗 Ver Mapa</v>
      </c>
    </row>
    <row r="3895" spans="1:12" ht="72.5" x14ac:dyDescent="0.35">
      <c r="A3895" s="5" t="s">
        <v>291</v>
      </c>
      <c r="B3895" s="5" t="s">
        <v>292</v>
      </c>
      <c r="C3895" s="5" t="s">
        <v>1604</v>
      </c>
      <c r="D3895" s="8" t="s">
        <v>64</v>
      </c>
      <c r="E3895" s="16" t="s">
        <v>75</v>
      </c>
      <c r="F3895" s="16" t="s">
        <v>86</v>
      </c>
      <c r="G3895" s="8" t="s">
        <v>112</v>
      </c>
      <c r="H3895" s="8" t="s">
        <v>295</v>
      </c>
      <c r="I3895" s="16" t="s">
        <v>296</v>
      </c>
      <c r="J3895" s="16">
        <v>17.038817002388999</v>
      </c>
      <c r="K3895" s="16">
        <v>-96.728655417422999</v>
      </c>
      <c r="L3895" s="16" t="str">
        <f>HYPERLINK("https://maps.google.com/?q=17.038817002389,-96.728655417423", "🔗 Ver Mapa")</f>
        <v>🔗 Ver Mapa</v>
      </c>
    </row>
    <row r="3896" spans="1:12" ht="72.5" x14ac:dyDescent="0.35">
      <c r="A3896" s="6" t="s">
        <v>291</v>
      </c>
      <c r="B3896" s="6" t="s">
        <v>292</v>
      </c>
      <c r="C3896" s="6" t="s">
        <v>1604</v>
      </c>
      <c r="D3896" s="11" t="s">
        <v>64</v>
      </c>
      <c r="E3896" s="17" t="s">
        <v>75</v>
      </c>
      <c r="F3896" s="17" t="s">
        <v>86</v>
      </c>
      <c r="G3896" s="11" t="s">
        <v>112</v>
      </c>
      <c r="H3896" s="11" t="s">
        <v>295</v>
      </c>
      <c r="I3896" s="17" t="s">
        <v>296</v>
      </c>
      <c r="J3896" s="17">
        <v>17.039031570018999</v>
      </c>
      <c r="K3896" s="17">
        <v>-96.728537005771997</v>
      </c>
      <c r="L3896" s="17" t="str">
        <f>HYPERLINK("https://maps.google.com/?q=17.039031570019,-96.728537005772", "🔗 Ver Mapa")</f>
        <v>🔗 Ver Mapa</v>
      </c>
    </row>
    <row r="3897" spans="1:12" ht="72.5" x14ac:dyDescent="0.35">
      <c r="A3897" s="5" t="s">
        <v>291</v>
      </c>
      <c r="B3897" s="5" t="s">
        <v>292</v>
      </c>
      <c r="C3897" s="5" t="s">
        <v>1604</v>
      </c>
      <c r="D3897" s="8" t="s">
        <v>64</v>
      </c>
      <c r="E3897" s="16" t="s">
        <v>75</v>
      </c>
      <c r="F3897" s="16" t="s">
        <v>86</v>
      </c>
      <c r="G3897" s="8" t="s">
        <v>112</v>
      </c>
      <c r="H3897" s="8" t="s">
        <v>295</v>
      </c>
      <c r="I3897" s="16" t="s">
        <v>296</v>
      </c>
      <c r="J3897" s="16">
        <v>17.039491973092002</v>
      </c>
      <c r="K3897" s="16">
        <v>-96.728304693406997</v>
      </c>
      <c r="L3897" s="16" t="str">
        <f>HYPERLINK("https://maps.google.com/?q=17.039491973092,-96.728304693407", "🔗 Ver Mapa")</f>
        <v>🔗 Ver Mapa</v>
      </c>
    </row>
    <row r="3898" spans="1:12" ht="43.5" x14ac:dyDescent="0.35">
      <c r="A3898" s="6" t="s">
        <v>2</v>
      </c>
      <c r="B3898" s="6" t="s">
        <v>15</v>
      </c>
      <c r="C3898" s="6" t="s">
        <v>1605</v>
      </c>
      <c r="D3898" s="11" t="s">
        <v>62</v>
      </c>
      <c r="E3898" s="17" t="s">
        <v>75</v>
      </c>
      <c r="F3898" s="17" t="s">
        <v>86</v>
      </c>
      <c r="G3898" s="11" t="s">
        <v>104</v>
      </c>
      <c r="H3898" s="11" t="s">
        <v>1606</v>
      </c>
      <c r="I3898" s="17" t="s">
        <v>138</v>
      </c>
      <c r="J3898" s="17">
        <v>16.948289361551002</v>
      </c>
      <c r="K3898" s="17">
        <v>-96.715461279763005</v>
      </c>
      <c r="L3898" s="17" t="str">
        <f>HYPERLINK("https://maps.google.com/?q=16.948289361551,-96.715461279763", "🔗 Ver Mapa")</f>
        <v>🔗 Ver Mapa</v>
      </c>
    </row>
    <row r="3899" spans="1:12" ht="29" x14ac:dyDescent="0.35">
      <c r="A3899" s="5" t="s">
        <v>1492</v>
      </c>
      <c r="B3899" s="5" t="s">
        <v>1493</v>
      </c>
      <c r="C3899" s="5" t="s">
        <v>1607</v>
      </c>
      <c r="D3899" s="8" t="s">
        <v>70</v>
      </c>
      <c r="E3899" s="16" t="s">
        <v>287</v>
      </c>
      <c r="F3899" s="16" t="s">
        <v>288</v>
      </c>
      <c r="G3899" s="8" t="s">
        <v>1608</v>
      </c>
      <c r="H3899" s="8" t="s">
        <v>1609</v>
      </c>
      <c r="I3899" s="16" t="s">
        <v>138</v>
      </c>
      <c r="J3899" s="16">
        <v>18.013584515464</v>
      </c>
      <c r="K3899" s="16">
        <v>-96.171258170155994</v>
      </c>
      <c r="L3899" s="16" t="str">
        <f>HYPERLINK("https://maps.google.com/?q=18.013584515464,-96.171258170156", "🔗 Ver Mapa")</f>
        <v>🔗 Ver Mapa</v>
      </c>
    </row>
    <row r="3900" spans="1:12" ht="29" x14ac:dyDescent="0.35">
      <c r="A3900" s="6" t="s">
        <v>1492</v>
      </c>
      <c r="B3900" s="6" t="s">
        <v>1493</v>
      </c>
      <c r="C3900" s="6" t="s">
        <v>1607</v>
      </c>
      <c r="D3900" s="11" t="s">
        <v>70</v>
      </c>
      <c r="E3900" s="17" t="s">
        <v>287</v>
      </c>
      <c r="F3900" s="17" t="s">
        <v>288</v>
      </c>
      <c r="G3900" s="11" t="s">
        <v>1608</v>
      </c>
      <c r="H3900" s="11" t="s">
        <v>1609</v>
      </c>
      <c r="I3900" s="17" t="s">
        <v>138</v>
      </c>
      <c r="J3900" s="17">
        <v>18.099532268467001</v>
      </c>
      <c r="K3900" s="17">
        <v>-95.895939565885001</v>
      </c>
      <c r="L3900" s="17" t="str">
        <f>HYPERLINK("https://maps.google.com/?q=18.099532268467,-95.895939565885", "🔗 Ver Mapa")</f>
        <v>🔗 Ver Mapa</v>
      </c>
    </row>
    <row r="3901" spans="1:12" ht="43.5" x14ac:dyDescent="0.35">
      <c r="A3901" s="5" t="s">
        <v>1610</v>
      </c>
      <c r="B3901" s="5" t="s">
        <v>1611</v>
      </c>
      <c r="C3901" s="5" t="s">
        <v>1612</v>
      </c>
      <c r="D3901" s="8" t="s">
        <v>61</v>
      </c>
      <c r="E3901" s="16" t="s">
        <v>73</v>
      </c>
      <c r="F3901" s="16" t="s">
        <v>249</v>
      </c>
      <c r="G3901" s="8" t="s">
        <v>695</v>
      </c>
      <c r="H3901" s="8" t="s">
        <v>1613</v>
      </c>
      <c r="I3901" s="16" t="s">
        <v>138</v>
      </c>
      <c r="J3901" s="16">
        <v>17.827383000000001</v>
      </c>
      <c r="K3901" s="16">
        <v>-97.804277999999996</v>
      </c>
      <c r="L3901" s="16" t="str">
        <f>HYPERLINK("https://maps.google.com/?q=17.827383,-97.804278", "🔗 Ver Mapa")</f>
        <v>🔗 Ver Mapa</v>
      </c>
    </row>
    <row r="3902" spans="1:12" ht="58" x14ac:dyDescent="0.35">
      <c r="A3902" s="6" t="s">
        <v>1610</v>
      </c>
      <c r="B3902" s="6" t="s">
        <v>1611</v>
      </c>
      <c r="C3902" s="6" t="s">
        <v>1614</v>
      </c>
      <c r="D3902" s="11" t="s">
        <v>61</v>
      </c>
      <c r="E3902" s="17" t="s">
        <v>73</v>
      </c>
      <c r="F3902" s="17" t="s">
        <v>249</v>
      </c>
      <c r="G3902" s="11" t="s">
        <v>695</v>
      </c>
      <c r="H3902" s="11" t="s">
        <v>1613</v>
      </c>
      <c r="I3902" s="17" t="s">
        <v>138</v>
      </c>
      <c r="J3902" s="17">
        <v>17.827383000000001</v>
      </c>
      <c r="K3902" s="17">
        <v>-97.804277999999996</v>
      </c>
      <c r="L3902" s="17" t="str">
        <f>HYPERLINK("https://maps.google.com/?q=17.827383,-97.804278", "🔗 Ver Mapa")</f>
        <v>🔗 Ver Mapa</v>
      </c>
    </row>
    <row r="3903" spans="1:12" ht="58" x14ac:dyDescent="0.35">
      <c r="A3903" s="5" t="s">
        <v>1</v>
      </c>
      <c r="B3903" s="5" t="s">
        <v>14</v>
      </c>
      <c r="C3903" s="5" t="s">
        <v>1615</v>
      </c>
      <c r="D3903" s="8" t="s">
        <v>61</v>
      </c>
      <c r="E3903" s="16" t="s">
        <v>74</v>
      </c>
      <c r="F3903" s="16" t="s">
        <v>89</v>
      </c>
      <c r="G3903" s="8" t="s">
        <v>1616</v>
      </c>
      <c r="H3903" s="8" t="s">
        <v>1617</v>
      </c>
      <c r="I3903" s="16" t="s">
        <v>138</v>
      </c>
      <c r="J3903" s="16">
        <v>16.075576572496999</v>
      </c>
      <c r="K3903" s="16">
        <v>-96.792776813255003</v>
      </c>
      <c r="L3903" s="16" t="str">
        <f>HYPERLINK("https://maps.google.com/?q=16.075576572497,-96.792776813255", "🔗 Ver Mapa")</f>
        <v>🔗 Ver Mapa</v>
      </c>
    </row>
    <row r="3904" spans="1:12" ht="58" x14ac:dyDescent="0.35">
      <c r="A3904" s="6" t="s">
        <v>1</v>
      </c>
      <c r="B3904" s="6" t="s">
        <v>14</v>
      </c>
      <c r="C3904" s="6" t="s">
        <v>1618</v>
      </c>
      <c r="D3904" s="11" t="s">
        <v>61</v>
      </c>
      <c r="E3904" s="17" t="s">
        <v>75</v>
      </c>
      <c r="F3904" s="17" t="s">
        <v>87</v>
      </c>
      <c r="G3904" s="11" t="s">
        <v>105</v>
      </c>
      <c r="H3904" s="11" t="s">
        <v>127</v>
      </c>
      <c r="I3904" s="17" t="s">
        <v>138</v>
      </c>
      <c r="J3904" s="17">
        <v>17.246077924270001</v>
      </c>
      <c r="K3904" s="17">
        <v>-96.888410547877996</v>
      </c>
      <c r="L3904" s="17" t="str">
        <f>HYPERLINK("https://maps.google.com/?q=17.24607792427,-96.888410547878", "🔗 Ver Mapa")</f>
        <v>🔗 Ver Mapa</v>
      </c>
    </row>
    <row r="3905" spans="1:12" ht="43.5" x14ac:dyDescent="0.35">
      <c r="A3905" s="5" t="s">
        <v>1619</v>
      </c>
      <c r="B3905" s="5" t="s">
        <v>1620</v>
      </c>
      <c r="C3905" s="5" t="s">
        <v>1621</v>
      </c>
      <c r="D3905" s="8" t="s">
        <v>219</v>
      </c>
      <c r="E3905" s="16" t="s">
        <v>77</v>
      </c>
      <c r="F3905" s="16" t="s">
        <v>88</v>
      </c>
      <c r="G3905" s="8" t="s">
        <v>698</v>
      </c>
      <c r="H3905" s="8" t="s">
        <v>1622</v>
      </c>
      <c r="I3905" s="16" t="s">
        <v>296</v>
      </c>
      <c r="J3905" s="16">
        <v>16.856349000000002</v>
      </c>
      <c r="K3905" s="16">
        <v>-94.742401000000001</v>
      </c>
      <c r="L3905" s="16" t="str">
        <f>HYPERLINK("https://maps.google.com/?q=16.856349,-94.742401", "🔗 Ver Mapa")</f>
        <v>🔗 Ver Mapa</v>
      </c>
    </row>
    <row r="3906" spans="1:12" ht="43.5" x14ac:dyDescent="0.35">
      <c r="A3906" s="6" t="s">
        <v>1619</v>
      </c>
      <c r="B3906" s="6" t="s">
        <v>1620</v>
      </c>
      <c r="C3906" s="6" t="s">
        <v>1621</v>
      </c>
      <c r="D3906" s="11" t="s">
        <v>219</v>
      </c>
      <c r="E3906" s="17" t="s">
        <v>77</v>
      </c>
      <c r="F3906" s="17" t="s">
        <v>88</v>
      </c>
      <c r="G3906" s="11" t="s">
        <v>698</v>
      </c>
      <c r="H3906" s="11" t="s">
        <v>1622</v>
      </c>
      <c r="I3906" s="17" t="s">
        <v>296</v>
      </c>
      <c r="J3906" s="17">
        <v>16.85698923</v>
      </c>
      <c r="K3906" s="17">
        <v>-94.742130239999995</v>
      </c>
      <c r="L3906" s="17" t="str">
        <f>HYPERLINK("https://maps.google.com/?q=16.85698923,-94.74213024", "🔗 Ver Mapa")</f>
        <v>🔗 Ver Mapa</v>
      </c>
    </row>
    <row r="3907" spans="1:12" ht="43.5" x14ac:dyDescent="0.35">
      <c r="A3907" s="5" t="s">
        <v>1619</v>
      </c>
      <c r="B3907" s="5" t="s">
        <v>1620</v>
      </c>
      <c r="C3907" s="5" t="s">
        <v>1621</v>
      </c>
      <c r="D3907" s="8" t="s">
        <v>219</v>
      </c>
      <c r="E3907" s="16" t="s">
        <v>77</v>
      </c>
      <c r="F3907" s="16" t="s">
        <v>88</v>
      </c>
      <c r="G3907" s="8" t="s">
        <v>698</v>
      </c>
      <c r="H3907" s="8" t="s">
        <v>1622</v>
      </c>
      <c r="I3907" s="16" t="s">
        <v>296</v>
      </c>
      <c r="J3907" s="16">
        <v>16.85715888</v>
      </c>
      <c r="K3907" s="16">
        <v>-94.741305999999994</v>
      </c>
      <c r="L3907" s="16" t="str">
        <f>HYPERLINK("https://maps.google.com/?q=16.85715888,-94.741306", "🔗 Ver Mapa")</f>
        <v>🔗 Ver Mapa</v>
      </c>
    </row>
    <row r="3908" spans="1:12" ht="43.5" x14ac:dyDescent="0.35">
      <c r="A3908" s="6" t="s">
        <v>1619</v>
      </c>
      <c r="B3908" s="6" t="s">
        <v>1620</v>
      </c>
      <c r="C3908" s="6" t="s">
        <v>1621</v>
      </c>
      <c r="D3908" s="11" t="s">
        <v>219</v>
      </c>
      <c r="E3908" s="17" t="s">
        <v>77</v>
      </c>
      <c r="F3908" s="17" t="s">
        <v>88</v>
      </c>
      <c r="G3908" s="11" t="s">
        <v>698</v>
      </c>
      <c r="H3908" s="11" t="s">
        <v>1622</v>
      </c>
      <c r="I3908" s="17" t="s">
        <v>296</v>
      </c>
      <c r="J3908" s="17">
        <v>16.857372590000001</v>
      </c>
      <c r="K3908" s="17">
        <v>-94.740613539999998</v>
      </c>
      <c r="L3908" s="17" t="str">
        <f>HYPERLINK("https://maps.google.com/?q=16.85737259,-94.74061354", "🔗 Ver Mapa")</f>
        <v>🔗 Ver Mapa</v>
      </c>
    </row>
    <row r="3909" spans="1:12" ht="43.5" x14ac:dyDescent="0.35">
      <c r="A3909" s="5" t="s">
        <v>1619</v>
      </c>
      <c r="B3909" s="5" t="s">
        <v>1620</v>
      </c>
      <c r="C3909" s="5" t="s">
        <v>1621</v>
      </c>
      <c r="D3909" s="8" t="s">
        <v>219</v>
      </c>
      <c r="E3909" s="16" t="s">
        <v>77</v>
      </c>
      <c r="F3909" s="16" t="s">
        <v>88</v>
      </c>
      <c r="G3909" s="8" t="s">
        <v>698</v>
      </c>
      <c r="H3909" s="8" t="s">
        <v>1622</v>
      </c>
      <c r="I3909" s="16" t="s">
        <v>296</v>
      </c>
      <c r="J3909" s="16">
        <v>16.85749491</v>
      </c>
      <c r="K3909" s="16">
        <v>-94.740042239999994</v>
      </c>
      <c r="L3909" s="16" t="str">
        <f>HYPERLINK("https://maps.google.com/?q=16.85749491,-94.74004224", "🔗 Ver Mapa")</f>
        <v>🔗 Ver Mapa</v>
      </c>
    </row>
    <row r="3910" spans="1:12" ht="43.5" x14ac:dyDescent="0.35">
      <c r="A3910" s="6" t="s">
        <v>1619</v>
      </c>
      <c r="B3910" s="6" t="s">
        <v>1620</v>
      </c>
      <c r="C3910" s="6" t="s">
        <v>1621</v>
      </c>
      <c r="D3910" s="11" t="s">
        <v>219</v>
      </c>
      <c r="E3910" s="17" t="s">
        <v>77</v>
      </c>
      <c r="F3910" s="17" t="s">
        <v>88</v>
      </c>
      <c r="G3910" s="11" t="s">
        <v>698</v>
      </c>
      <c r="H3910" s="11" t="s">
        <v>1622</v>
      </c>
      <c r="I3910" s="17" t="s">
        <v>296</v>
      </c>
      <c r="J3910" s="17">
        <v>16.85747409</v>
      </c>
      <c r="K3910" s="17">
        <v>-94.739300709999995</v>
      </c>
      <c r="L3910" s="17" t="str">
        <f>HYPERLINK("https://maps.google.com/?q=16.85747409,-94.73930071", "🔗 Ver Mapa")</f>
        <v>🔗 Ver Mapa</v>
      </c>
    </row>
    <row r="3911" spans="1:12" ht="43.5" x14ac:dyDescent="0.35">
      <c r="A3911" s="5" t="s">
        <v>1619</v>
      </c>
      <c r="B3911" s="5" t="s">
        <v>1620</v>
      </c>
      <c r="C3911" s="5" t="s">
        <v>1621</v>
      </c>
      <c r="D3911" s="8" t="s">
        <v>219</v>
      </c>
      <c r="E3911" s="16" t="s">
        <v>77</v>
      </c>
      <c r="F3911" s="16" t="s">
        <v>88</v>
      </c>
      <c r="G3911" s="8" t="s">
        <v>698</v>
      </c>
      <c r="H3911" s="8" t="s">
        <v>1622</v>
      </c>
      <c r="I3911" s="16" t="s">
        <v>296</v>
      </c>
      <c r="J3911" s="16">
        <v>16.857360679999999</v>
      </c>
      <c r="K3911" s="16">
        <v>-94.738821090000002</v>
      </c>
      <c r="L3911" s="16" t="str">
        <f>HYPERLINK("https://maps.google.com/?q=16.85736068,-94.73882109", "🔗 Ver Mapa")</f>
        <v>🔗 Ver Mapa</v>
      </c>
    </row>
    <row r="3912" spans="1:12" ht="43.5" x14ac:dyDescent="0.35">
      <c r="A3912" s="6" t="s">
        <v>1619</v>
      </c>
      <c r="B3912" s="6" t="s">
        <v>1620</v>
      </c>
      <c r="C3912" s="6" t="s">
        <v>1621</v>
      </c>
      <c r="D3912" s="11" t="s">
        <v>219</v>
      </c>
      <c r="E3912" s="17" t="s">
        <v>77</v>
      </c>
      <c r="F3912" s="17" t="s">
        <v>88</v>
      </c>
      <c r="G3912" s="11" t="s">
        <v>698</v>
      </c>
      <c r="H3912" s="11" t="s">
        <v>1622</v>
      </c>
      <c r="I3912" s="17" t="s">
        <v>296</v>
      </c>
      <c r="J3912" s="17">
        <v>16.85759015</v>
      </c>
      <c r="K3912" s="17">
        <v>-94.738400909999996</v>
      </c>
      <c r="L3912" s="17" t="str">
        <f>HYPERLINK("https://maps.google.com/?q=16.85759015,-94.73840091", "🔗 Ver Mapa")</f>
        <v>🔗 Ver Mapa</v>
      </c>
    </row>
    <row r="3913" spans="1:12" ht="43.5" x14ac:dyDescent="0.35">
      <c r="A3913" s="5" t="s">
        <v>1619</v>
      </c>
      <c r="B3913" s="5" t="s">
        <v>1620</v>
      </c>
      <c r="C3913" s="5" t="s">
        <v>1621</v>
      </c>
      <c r="D3913" s="8" t="s">
        <v>219</v>
      </c>
      <c r="E3913" s="16" t="s">
        <v>77</v>
      </c>
      <c r="F3913" s="16" t="s">
        <v>88</v>
      </c>
      <c r="G3913" s="8" t="s">
        <v>698</v>
      </c>
      <c r="H3913" s="8" t="s">
        <v>1622</v>
      </c>
      <c r="I3913" s="16" t="s">
        <v>296</v>
      </c>
      <c r="J3913" s="16">
        <v>16.857996669999999</v>
      </c>
      <c r="K3913" s="16">
        <v>-94.73841401</v>
      </c>
      <c r="L3913" s="16" t="str">
        <f>HYPERLINK("https://maps.google.com/?q=16.85799667,-94.73841401", "🔗 Ver Mapa")</f>
        <v>🔗 Ver Mapa</v>
      </c>
    </row>
    <row r="3914" spans="1:12" ht="43.5" x14ac:dyDescent="0.35">
      <c r="A3914" s="6" t="s">
        <v>1619</v>
      </c>
      <c r="B3914" s="6" t="s">
        <v>1620</v>
      </c>
      <c r="C3914" s="6" t="s">
        <v>1621</v>
      </c>
      <c r="D3914" s="11" t="s">
        <v>219</v>
      </c>
      <c r="E3914" s="17" t="s">
        <v>77</v>
      </c>
      <c r="F3914" s="17" t="s">
        <v>88</v>
      </c>
      <c r="G3914" s="11" t="s">
        <v>698</v>
      </c>
      <c r="H3914" s="11" t="s">
        <v>1622</v>
      </c>
      <c r="I3914" s="17" t="s">
        <v>296</v>
      </c>
      <c r="J3914" s="17">
        <v>16.858798520000001</v>
      </c>
      <c r="K3914" s="17">
        <v>-94.738693479999995</v>
      </c>
      <c r="L3914" s="17" t="str">
        <f>HYPERLINK("https://maps.google.com/?q=16.85879852,-94.73869348", "🔗 Ver Mapa")</f>
        <v>🔗 Ver Mapa</v>
      </c>
    </row>
    <row r="3915" spans="1:12" ht="43.5" x14ac:dyDescent="0.35">
      <c r="A3915" s="5" t="s">
        <v>1619</v>
      </c>
      <c r="B3915" s="5" t="s">
        <v>1620</v>
      </c>
      <c r="C3915" s="5" t="s">
        <v>1621</v>
      </c>
      <c r="D3915" s="8" t="s">
        <v>219</v>
      </c>
      <c r="E3915" s="16" t="s">
        <v>77</v>
      </c>
      <c r="F3915" s="16" t="s">
        <v>88</v>
      </c>
      <c r="G3915" s="8" t="s">
        <v>698</v>
      </c>
      <c r="H3915" s="8" t="s">
        <v>1622</v>
      </c>
      <c r="I3915" s="16" t="s">
        <v>296</v>
      </c>
      <c r="J3915" s="16">
        <v>16.85898384</v>
      </c>
      <c r="K3915" s="16">
        <v>-94.738150899999994</v>
      </c>
      <c r="L3915" s="16" t="str">
        <f>HYPERLINK("https://maps.google.com/?q=16.85898384,-94.7381509", "🔗 Ver Mapa")</f>
        <v>🔗 Ver Mapa</v>
      </c>
    </row>
    <row r="3916" spans="1:12" ht="43.5" x14ac:dyDescent="0.35">
      <c r="A3916" s="6" t="s">
        <v>1619</v>
      </c>
      <c r="B3916" s="6" t="s">
        <v>1620</v>
      </c>
      <c r="C3916" s="6" t="s">
        <v>1621</v>
      </c>
      <c r="D3916" s="11" t="s">
        <v>219</v>
      </c>
      <c r="E3916" s="17" t="s">
        <v>77</v>
      </c>
      <c r="F3916" s="17" t="s">
        <v>88</v>
      </c>
      <c r="G3916" s="11" t="s">
        <v>698</v>
      </c>
      <c r="H3916" s="11" t="s">
        <v>1622</v>
      </c>
      <c r="I3916" s="17" t="s">
        <v>296</v>
      </c>
      <c r="J3916" s="17">
        <v>16.85920737</v>
      </c>
      <c r="K3916" s="17">
        <v>-94.737364679999999</v>
      </c>
      <c r="L3916" s="17" t="str">
        <f>HYPERLINK("https://maps.google.com/?q=16.85920737,-94.73736468", "🔗 Ver Mapa")</f>
        <v>🔗 Ver Mapa</v>
      </c>
    </row>
    <row r="3917" spans="1:12" ht="43.5" x14ac:dyDescent="0.35">
      <c r="A3917" s="5" t="s">
        <v>1619</v>
      </c>
      <c r="B3917" s="5" t="s">
        <v>1620</v>
      </c>
      <c r="C3917" s="5" t="s">
        <v>1621</v>
      </c>
      <c r="D3917" s="8" t="s">
        <v>219</v>
      </c>
      <c r="E3917" s="16" t="s">
        <v>77</v>
      </c>
      <c r="F3917" s="16" t="s">
        <v>88</v>
      </c>
      <c r="G3917" s="8" t="s">
        <v>698</v>
      </c>
      <c r="H3917" s="8" t="s">
        <v>1622</v>
      </c>
      <c r="I3917" s="16" t="s">
        <v>296</v>
      </c>
      <c r="J3917" s="16">
        <v>16.85941068</v>
      </c>
      <c r="K3917" s="16">
        <v>-94.736831640000005</v>
      </c>
      <c r="L3917" s="16" t="str">
        <f>HYPERLINK("https://maps.google.com/?q=16.85941068,-94.73683164", "🔗 Ver Mapa")</f>
        <v>🔗 Ver Mapa</v>
      </c>
    </row>
    <row r="3918" spans="1:12" ht="43.5" x14ac:dyDescent="0.35">
      <c r="A3918" s="6" t="s">
        <v>1619</v>
      </c>
      <c r="B3918" s="6" t="s">
        <v>1620</v>
      </c>
      <c r="C3918" s="6" t="s">
        <v>1621</v>
      </c>
      <c r="D3918" s="11" t="s">
        <v>219</v>
      </c>
      <c r="E3918" s="17" t="s">
        <v>77</v>
      </c>
      <c r="F3918" s="17" t="s">
        <v>88</v>
      </c>
      <c r="G3918" s="11" t="s">
        <v>698</v>
      </c>
      <c r="H3918" s="11" t="s">
        <v>1622</v>
      </c>
      <c r="I3918" s="17" t="s">
        <v>296</v>
      </c>
      <c r="J3918" s="17">
        <v>16.85988442</v>
      </c>
      <c r="K3918" s="17">
        <v>-94.736376149999998</v>
      </c>
      <c r="L3918" s="17" t="str">
        <f>HYPERLINK("https://maps.google.com/?q=16.85988442,-94.73637615", "🔗 Ver Mapa")</f>
        <v>🔗 Ver Mapa</v>
      </c>
    </row>
    <row r="3919" spans="1:12" ht="43.5" x14ac:dyDescent="0.35">
      <c r="A3919" s="5" t="s">
        <v>1619</v>
      </c>
      <c r="B3919" s="5" t="s">
        <v>1620</v>
      </c>
      <c r="C3919" s="5" t="s">
        <v>1621</v>
      </c>
      <c r="D3919" s="8" t="s">
        <v>219</v>
      </c>
      <c r="E3919" s="16" t="s">
        <v>77</v>
      </c>
      <c r="F3919" s="16" t="s">
        <v>88</v>
      </c>
      <c r="G3919" s="8" t="s">
        <v>698</v>
      </c>
      <c r="H3919" s="8" t="s">
        <v>1622</v>
      </c>
      <c r="I3919" s="16" t="s">
        <v>296</v>
      </c>
      <c r="J3919" s="16">
        <v>16.860419740000001</v>
      </c>
      <c r="K3919" s="16">
        <v>-94.736118279999999</v>
      </c>
      <c r="L3919" s="16" t="str">
        <f>HYPERLINK("https://maps.google.com/?q=16.86041974,-94.73611828", "🔗 Ver Mapa")</f>
        <v>🔗 Ver Mapa</v>
      </c>
    </row>
    <row r="3920" spans="1:12" ht="43.5" x14ac:dyDescent="0.35">
      <c r="A3920" s="6" t="s">
        <v>1619</v>
      </c>
      <c r="B3920" s="6" t="s">
        <v>1620</v>
      </c>
      <c r="C3920" s="6" t="s">
        <v>1621</v>
      </c>
      <c r="D3920" s="11" t="s">
        <v>219</v>
      </c>
      <c r="E3920" s="17" t="s">
        <v>77</v>
      </c>
      <c r="F3920" s="17" t="s">
        <v>88</v>
      </c>
      <c r="G3920" s="11" t="s">
        <v>698</v>
      </c>
      <c r="H3920" s="11" t="s">
        <v>1622</v>
      </c>
      <c r="I3920" s="17" t="s">
        <v>296</v>
      </c>
      <c r="J3920" s="17">
        <v>16.86081415</v>
      </c>
      <c r="K3920" s="17">
        <v>-94.735427450000003</v>
      </c>
      <c r="L3920" s="17" t="str">
        <f>HYPERLINK("https://maps.google.com/?q=16.86081415,-94.73542745", "🔗 Ver Mapa")</f>
        <v>🔗 Ver Mapa</v>
      </c>
    </row>
    <row r="3921" spans="1:12" ht="43.5" x14ac:dyDescent="0.35">
      <c r="A3921" s="5" t="s">
        <v>1619</v>
      </c>
      <c r="B3921" s="5" t="s">
        <v>1620</v>
      </c>
      <c r="C3921" s="5" t="s">
        <v>1621</v>
      </c>
      <c r="D3921" s="8" t="s">
        <v>219</v>
      </c>
      <c r="E3921" s="16" t="s">
        <v>77</v>
      </c>
      <c r="F3921" s="16" t="s">
        <v>88</v>
      </c>
      <c r="G3921" s="8" t="s">
        <v>698</v>
      </c>
      <c r="H3921" s="8" t="s">
        <v>1622</v>
      </c>
      <c r="I3921" s="16" t="s">
        <v>296</v>
      </c>
      <c r="J3921" s="16">
        <v>16.861213450000001</v>
      </c>
      <c r="K3921" s="16">
        <v>-94.735224639999998</v>
      </c>
      <c r="L3921" s="16" t="str">
        <f>HYPERLINK("https://maps.google.com/?q=16.86121345,-94.73522464", "🔗 Ver Mapa")</f>
        <v>🔗 Ver Mapa</v>
      </c>
    </row>
    <row r="3922" spans="1:12" ht="43.5" x14ac:dyDescent="0.35">
      <c r="A3922" s="6" t="s">
        <v>1619</v>
      </c>
      <c r="B3922" s="6" t="s">
        <v>1620</v>
      </c>
      <c r="C3922" s="6" t="s">
        <v>1621</v>
      </c>
      <c r="D3922" s="11" t="s">
        <v>219</v>
      </c>
      <c r="E3922" s="17" t="s">
        <v>77</v>
      </c>
      <c r="F3922" s="17" t="s">
        <v>88</v>
      </c>
      <c r="G3922" s="11" t="s">
        <v>698</v>
      </c>
      <c r="H3922" s="11" t="s">
        <v>1622</v>
      </c>
      <c r="I3922" s="17" t="s">
        <v>296</v>
      </c>
      <c r="J3922" s="17">
        <v>16.861566549999999</v>
      </c>
      <c r="K3922" s="17">
        <v>-94.735143410000006</v>
      </c>
      <c r="L3922" s="17" t="str">
        <f>HYPERLINK("https://maps.google.com/?q=16.86156655,-94.73514341", "🔗 Ver Mapa")</f>
        <v>🔗 Ver Mapa</v>
      </c>
    </row>
    <row r="3923" spans="1:12" ht="43.5" x14ac:dyDescent="0.35">
      <c r="A3923" s="5" t="s">
        <v>1619</v>
      </c>
      <c r="B3923" s="5" t="s">
        <v>1620</v>
      </c>
      <c r="C3923" s="5" t="s">
        <v>1621</v>
      </c>
      <c r="D3923" s="8" t="s">
        <v>219</v>
      </c>
      <c r="E3923" s="16" t="s">
        <v>77</v>
      </c>
      <c r="F3923" s="16" t="s">
        <v>88</v>
      </c>
      <c r="G3923" s="8" t="s">
        <v>698</v>
      </c>
      <c r="H3923" s="8" t="s">
        <v>1622</v>
      </c>
      <c r="I3923" s="16" t="s">
        <v>296</v>
      </c>
      <c r="J3923" s="16">
        <v>16.862403059999998</v>
      </c>
      <c r="K3923" s="16">
        <v>-94.734531680000003</v>
      </c>
      <c r="L3923" s="16" t="str">
        <f>HYPERLINK("https://maps.google.com/?q=16.86240306,-94.73453168", "🔗 Ver Mapa")</f>
        <v>🔗 Ver Mapa</v>
      </c>
    </row>
    <row r="3924" spans="1:12" ht="43.5" x14ac:dyDescent="0.35">
      <c r="A3924" s="6" t="s">
        <v>1619</v>
      </c>
      <c r="B3924" s="6" t="s">
        <v>1620</v>
      </c>
      <c r="C3924" s="6" t="s">
        <v>1621</v>
      </c>
      <c r="D3924" s="11" t="s">
        <v>219</v>
      </c>
      <c r="E3924" s="17" t="s">
        <v>77</v>
      </c>
      <c r="F3924" s="17" t="s">
        <v>88</v>
      </c>
      <c r="G3924" s="11" t="s">
        <v>698</v>
      </c>
      <c r="H3924" s="11" t="s">
        <v>1622</v>
      </c>
      <c r="I3924" s="17" t="s">
        <v>296</v>
      </c>
      <c r="J3924" s="17">
        <v>16.86300456</v>
      </c>
      <c r="K3924" s="17">
        <v>-94.733927190000003</v>
      </c>
      <c r="L3924" s="17" t="str">
        <f>HYPERLINK("https://maps.google.com/?q=16.86300456,-94.73392719", "🔗 Ver Mapa")</f>
        <v>🔗 Ver Mapa</v>
      </c>
    </row>
    <row r="3925" spans="1:12" ht="43.5" x14ac:dyDescent="0.35">
      <c r="A3925" s="5" t="s">
        <v>1619</v>
      </c>
      <c r="B3925" s="5" t="s">
        <v>1620</v>
      </c>
      <c r="C3925" s="5" t="s">
        <v>1621</v>
      </c>
      <c r="D3925" s="8" t="s">
        <v>219</v>
      </c>
      <c r="E3925" s="16" t="s">
        <v>77</v>
      </c>
      <c r="F3925" s="16" t="s">
        <v>88</v>
      </c>
      <c r="G3925" s="8" t="s">
        <v>698</v>
      </c>
      <c r="H3925" s="8" t="s">
        <v>1622</v>
      </c>
      <c r="I3925" s="16" t="s">
        <v>296</v>
      </c>
      <c r="J3925" s="16">
        <v>16.863413380000001</v>
      </c>
      <c r="K3925" s="16">
        <v>-94.733668159999993</v>
      </c>
      <c r="L3925" s="16" t="str">
        <f>HYPERLINK("https://maps.google.com/?q=16.86341338,-94.73366816", "🔗 Ver Mapa")</f>
        <v>🔗 Ver Mapa</v>
      </c>
    </row>
    <row r="3926" spans="1:12" ht="43.5" x14ac:dyDescent="0.35">
      <c r="A3926" s="6" t="s">
        <v>1619</v>
      </c>
      <c r="B3926" s="6" t="s">
        <v>1620</v>
      </c>
      <c r="C3926" s="6" t="s">
        <v>1621</v>
      </c>
      <c r="D3926" s="11" t="s">
        <v>219</v>
      </c>
      <c r="E3926" s="17" t="s">
        <v>77</v>
      </c>
      <c r="F3926" s="17" t="s">
        <v>88</v>
      </c>
      <c r="G3926" s="11" t="s">
        <v>698</v>
      </c>
      <c r="H3926" s="11" t="s">
        <v>1622</v>
      </c>
      <c r="I3926" s="17" t="s">
        <v>296</v>
      </c>
      <c r="J3926" s="17">
        <v>16.863742779999999</v>
      </c>
      <c r="K3926" s="17">
        <v>-94.733183170000004</v>
      </c>
      <c r="L3926" s="17" t="str">
        <f>HYPERLINK("https://maps.google.com/?q=16.86374278,-94.73318317", "🔗 Ver Mapa")</f>
        <v>🔗 Ver Mapa</v>
      </c>
    </row>
    <row r="3927" spans="1:12" ht="43.5" x14ac:dyDescent="0.35">
      <c r="A3927" s="5" t="s">
        <v>1619</v>
      </c>
      <c r="B3927" s="5" t="s">
        <v>1620</v>
      </c>
      <c r="C3927" s="5" t="s">
        <v>1621</v>
      </c>
      <c r="D3927" s="8" t="s">
        <v>219</v>
      </c>
      <c r="E3927" s="16" t="s">
        <v>77</v>
      </c>
      <c r="F3927" s="16" t="s">
        <v>88</v>
      </c>
      <c r="G3927" s="8" t="s">
        <v>698</v>
      </c>
      <c r="H3927" s="8" t="s">
        <v>1622</v>
      </c>
      <c r="I3927" s="16" t="s">
        <v>296</v>
      </c>
      <c r="J3927" s="16">
        <v>16.863077090000001</v>
      </c>
      <c r="K3927" s="16">
        <v>-94.732829890000005</v>
      </c>
      <c r="L3927" s="16" t="str">
        <f>HYPERLINK("https://maps.google.com/?q=16.86307709,-94.73282989", "🔗 Ver Mapa")</f>
        <v>🔗 Ver Mapa</v>
      </c>
    </row>
    <row r="3928" spans="1:12" ht="43.5" x14ac:dyDescent="0.35">
      <c r="A3928" s="6" t="s">
        <v>1619</v>
      </c>
      <c r="B3928" s="6" t="s">
        <v>1620</v>
      </c>
      <c r="C3928" s="6" t="s">
        <v>1621</v>
      </c>
      <c r="D3928" s="11" t="s">
        <v>219</v>
      </c>
      <c r="E3928" s="17" t="s">
        <v>77</v>
      </c>
      <c r="F3928" s="17" t="s">
        <v>88</v>
      </c>
      <c r="G3928" s="11" t="s">
        <v>698</v>
      </c>
      <c r="H3928" s="11" t="s">
        <v>1622</v>
      </c>
      <c r="I3928" s="17" t="s">
        <v>296</v>
      </c>
      <c r="J3928" s="17">
        <v>16.862512049999999</v>
      </c>
      <c r="K3928" s="17">
        <v>-94.732327369999993</v>
      </c>
      <c r="L3928" s="17" t="str">
        <f>HYPERLINK("https://maps.google.com/?q=16.86251205,-94.73232737", "🔗 Ver Mapa")</f>
        <v>🔗 Ver Mapa</v>
      </c>
    </row>
    <row r="3929" spans="1:12" ht="43.5" x14ac:dyDescent="0.35">
      <c r="A3929" s="5" t="s">
        <v>1619</v>
      </c>
      <c r="B3929" s="5" t="s">
        <v>1620</v>
      </c>
      <c r="C3929" s="5" t="s">
        <v>1621</v>
      </c>
      <c r="D3929" s="8" t="s">
        <v>219</v>
      </c>
      <c r="E3929" s="16" t="s">
        <v>77</v>
      </c>
      <c r="F3929" s="16" t="s">
        <v>88</v>
      </c>
      <c r="G3929" s="8" t="s">
        <v>698</v>
      </c>
      <c r="H3929" s="8" t="s">
        <v>1622</v>
      </c>
      <c r="I3929" s="16" t="s">
        <v>296</v>
      </c>
      <c r="J3929" s="16">
        <v>16.862546129999998</v>
      </c>
      <c r="K3929" s="16">
        <v>-94.731501870000002</v>
      </c>
      <c r="L3929" s="16" t="str">
        <f>HYPERLINK("https://maps.google.com/?q=16.86254613,-94.73150187", "🔗 Ver Mapa")</f>
        <v>🔗 Ver Mapa</v>
      </c>
    </row>
    <row r="3930" spans="1:12" ht="43.5" x14ac:dyDescent="0.35">
      <c r="A3930" s="6" t="s">
        <v>1619</v>
      </c>
      <c r="B3930" s="6" t="s">
        <v>1620</v>
      </c>
      <c r="C3930" s="6" t="s">
        <v>1621</v>
      </c>
      <c r="D3930" s="11" t="s">
        <v>219</v>
      </c>
      <c r="E3930" s="17" t="s">
        <v>77</v>
      </c>
      <c r="F3930" s="17" t="s">
        <v>88</v>
      </c>
      <c r="G3930" s="11" t="s">
        <v>698</v>
      </c>
      <c r="H3930" s="11" t="s">
        <v>1622</v>
      </c>
      <c r="I3930" s="17" t="s">
        <v>296</v>
      </c>
      <c r="J3930" s="17">
        <v>16.862399979999999</v>
      </c>
      <c r="K3930" s="17">
        <v>-94.730618410000005</v>
      </c>
      <c r="L3930" s="17" t="str">
        <f>HYPERLINK("https://maps.google.com/?q=16.86239998,-94.73061841", "🔗 Ver Mapa")</f>
        <v>🔗 Ver Mapa</v>
      </c>
    </row>
    <row r="3931" spans="1:12" ht="43.5" x14ac:dyDescent="0.35">
      <c r="A3931" s="5" t="s">
        <v>1619</v>
      </c>
      <c r="B3931" s="5" t="s">
        <v>1620</v>
      </c>
      <c r="C3931" s="5" t="s">
        <v>1621</v>
      </c>
      <c r="D3931" s="8" t="s">
        <v>219</v>
      </c>
      <c r="E3931" s="16" t="s">
        <v>77</v>
      </c>
      <c r="F3931" s="16" t="s">
        <v>88</v>
      </c>
      <c r="G3931" s="8" t="s">
        <v>698</v>
      </c>
      <c r="H3931" s="8" t="s">
        <v>1622</v>
      </c>
      <c r="I3931" s="16" t="s">
        <v>296</v>
      </c>
      <c r="J3931" s="16">
        <v>16.86263791</v>
      </c>
      <c r="K3931" s="16">
        <v>-94.730263980000004</v>
      </c>
      <c r="L3931" s="16" t="str">
        <f>HYPERLINK("https://maps.google.com/?q=16.86263791,-94.73026398", "🔗 Ver Mapa")</f>
        <v>🔗 Ver Mapa</v>
      </c>
    </row>
    <row r="3932" spans="1:12" ht="43.5" x14ac:dyDescent="0.35">
      <c r="A3932" s="6" t="s">
        <v>1619</v>
      </c>
      <c r="B3932" s="6" t="s">
        <v>1620</v>
      </c>
      <c r="C3932" s="6" t="s">
        <v>1621</v>
      </c>
      <c r="D3932" s="11" t="s">
        <v>219</v>
      </c>
      <c r="E3932" s="17" t="s">
        <v>77</v>
      </c>
      <c r="F3932" s="17" t="s">
        <v>88</v>
      </c>
      <c r="G3932" s="11" t="s">
        <v>698</v>
      </c>
      <c r="H3932" s="11" t="s">
        <v>1622</v>
      </c>
      <c r="I3932" s="17" t="s">
        <v>296</v>
      </c>
      <c r="J3932" s="17">
        <v>16.8631198</v>
      </c>
      <c r="K3932" s="17">
        <v>-94.729911759999993</v>
      </c>
      <c r="L3932" s="17" t="str">
        <f>HYPERLINK("https://maps.google.com/?q=16.8631198,-94.72991176", "🔗 Ver Mapa")</f>
        <v>🔗 Ver Mapa</v>
      </c>
    </row>
    <row r="3933" spans="1:12" ht="43.5" x14ac:dyDescent="0.35">
      <c r="A3933" s="5" t="s">
        <v>1619</v>
      </c>
      <c r="B3933" s="5" t="s">
        <v>1620</v>
      </c>
      <c r="C3933" s="5" t="s">
        <v>1621</v>
      </c>
      <c r="D3933" s="8" t="s">
        <v>219</v>
      </c>
      <c r="E3933" s="16" t="s">
        <v>77</v>
      </c>
      <c r="F3933" s="16" t="s">
        <v>88</v>
      </c>
      <c r="G3933" s="8" t="s">
        <v>698</v>
      </c>
      <c r="H3933" s="8" t="s">
        <v>1622</v>
      </c>
      <c r="I3933" s="16" t="s">
        <v>296</v>
      </c>
      <c r="J3933" s="16">
        <v>16.862580120000001</v>
      </c>
      <c r="K3933" s="16">
        <v>-94.729615940000002</v>
      </c>
      <c r="L3933" s="16" t="str">
        <f>HYPERLINK("https://maps.google.com/?q=16.86258012,-94.72961594", "🔗 Ver Mapa")</f>
        <v>🔗 Ver Mapa</v>
      </c>
    </row>
    <row r="3934" spans="1:12" ht="43.5" x14ac:dyDescent="0.35">
      <c r="A3934" s="6" t="s">
        <v>1619</v>
      </c>
      <c r="B3934" s="6" t="s">
        <v>1620</v>
      </c>
      <c r="C3934" s="6" t="s">
        <v>1621</v>
      </c>
      <c r="D3934" s="11" t="s">
        <v>219</v>
      </c>
      <c r="E3934" s="17" t="s">
        <v>77</v>
      </c>
      <c r="F3934" s="17" t="s">
        <v>88</v>
      </c>
      <c r="G3934" s="11" t="s">
        <v>698</v>
      </c>
      <c r="H3934" s="11" t="s">
        <v>1622</v>
      </c>
      <c r="I3934" s="17" t="s">
        <v>296</v>
      </c>
      <c r="J3934" s="17">
        <v>16.8619646</v>
      </c>
      <c r="K3934" s="17">
        <v>-94.729741720000007</v>
      </c>
      <c r="L3934" s="17" t="str">
        <f>HYPERLINK("https://maps.google.com/?q=16.8619646,-94.72974172", "🔗 Ver Mapa")</f>
        <v>🔗 Ver Mapa</v>
      </c>
    </row>
    <row r="3935" spans="1:12" ht="43.5" x14ac:dyDescent="0.35">
      <c r="A3935" s="5" t="s">
        <v>1619</v>
      </c>
      <c r="B3935" s="5" t="s">
        <v>1620</v>
      </c>
      <c r="C3935" s="5" t="s">
        <v>1621</v>
      </c>
      <c r="D3935" s="8" t="s">
        <v>219</v>
      </c>
      <c r="E3935" s="16" t="s">
        <v>77</v>
      </c>
      <c r="F3935" s="16" t="s">
        <v>88</v>
      </c>
      <c r="G3935" s="8" t="s">
        <v>698</v>
      </c>
      <c r="H3935" s="8" t="s">
        <v>1622</v>
      </c>
      <c r="I3935" s="16" t="s">
        <v>296</v>
      </c>
      <c r="J3935" s="16">
        <v>16.861848640000002</v>
      </c>
      <c r="K3935" s="16">
        <v>-94.729562360000003</v>
      </c>
      <c r="L3935" s="16" t="str">
        <f>HYPERLINK("https://maps.google.com/?q=16.86184864,-94.72956236", "🔗 Ver Mapa")</f>
        <v>🔗 Ver Mapa</v>
      </c>
    </row>
    <row r="3936" spans="1:12" ht="43.5" x14ac:dyDescent="0.35">
      <c r="A3936" s="6" t="s">
        <v>1619</v>
      </c>
      <c r="B3936" s="6" t="s">
        <v>1620</v>
      </c>
      <c r="C3936" s="6" t="s">
        <v>1621</v>
      </c>
      <c r="D3936" s="11" t="s">
        <v>219</v>
      </c>
      <c r="E3936" s="17" t="s">
        <v>77</v>
      </c>
      <c r="F3936" s="17" t="s">
        <v>88</v>
      </c>
      <c r="G3936" s="11" t="s">
        <v>698</v>
      </c>
      <c r="H3936" s="11" t="s">
        <v>1622</v>
      </c>
      <c r="I3936" s="17" t="s">
        <v>296</v>
      </c>
      <c r="J3936" s="17">
        <v>16.861852679999998</v>
      </c>
      <c r="K3936" s="17">
        <v>-94.729083799999998</v>
      </c>
      <c r="L3936" s="17" t="str">
        <f>HYPERLINK("https://maps.google.com/?q=16.86185268,-94.7290838", "🔗 Ver Mapa")</f>
        <v>🔗 Ver Mapa</v>
      </c>
    </row>
    <row r="3937" spans="1:12" ht="43.5" x14ac:dyDescent="0.35">
      <c r="A3937" s="5" t="s">
        <v>1619</v>
      </c>
      <c r="B3937" s="5" t="s">
        <v>1620</v>
      </c>
      <c r="C3937" s="5" t="s">
        <v>1621</v>
      </c>
      <c r="D3937" s="8" t="s">
        <v>219</v>
      </c>
      <c r="E3937" s="16" t="s">
        <v>77</v>
      </c>
      <c r="F3937" s="16" t="s">
        <v>88</v>
      </c>
      <c r="G3937" s="8" t="s">
        <v>698</v>
      </c>
      <c r="H3937" s="8" t="s">
        <v>1622</v>
      </c>
      <c r="I3937" s="16" t="s">
        <v>296</v>
      </c>
      <c r="J3937" s="16">
        <v>16.861512569999999</v>
      </c>
      <c r="K3937" s="16">
        <v>-94.728695950000002</v>
      </c>
      <c r="L3937" s="16" t="str">
        <f>HYPERLINK("https://maps.google.com/?q=16.86151257,-94.72869595", "🔗 Ver Mapa")</f>
        <v>🔗 Ver Mapa</v>
      </c>
    </row>
    <row r="3938" spans="1:12" ht="43.5" x14ac:dyDescent="0.35">
      <c r="A3938" s="6" t="s">
        <v>1619</v>
      </c>
      <c r="B3938" s="6" t="s">
        <v>1620</v>
      </c>
      <c r="C3938" s="6" t="s">
        <v>1621</v>
      </c>
      <c r="D3938" s="11" t="s">
        <v>219</v>
      </c>
      <c r="E3938" s="17" t="s">
        <v>77</v>
      </c>
      <c r="F3938" s="17" t="s">
        <v>88</v>
      </c>
      <c r="G3938" s="11" t="s">
        <v>698</v>
      </c>
      <c r="H3938" s="11" t="s">
        <v>1622</v>
      </c>
      <c r="I3938" s="17" t="s">
        <v>296</v>
      </c>
      <c r="J3938" s="17">
        <v>16.861551639999998</v>
      </c>
      <c r="K3938" s="17">
        <v>-94.728349089999995</v>
      </c>
      <c r="L3938" s="17" t="str">
        <f>HYPERLINK("https://maps.google.com/?q=16.86155164,-94.72834909", "🔗 Ver Mapa")</f>
        <v>🔗 Ver Mapa</v>
      </c>
    </row>
    <row r="3939" spans="1:12" ht="43.5" x14ac:dyDescent="0.35">
      <c r="A3939" s="5" t="s">
        <v>1619</v>
      </c>
      <c r="B3939" s="5" t="s">
        <v>1620</v>
      </c>
      <c r="C3939" s="5" t="s">
        <v>1621</v>
      </c>
      <c r="D3939" s="8" t="s">
        <v>219</v>
      </c>
      <c r="E3939" s="16" t="s">
        <v>77</v>
      </c>
      <c r="F3939" s="16" t="s">
        <v>88</v>
      </c>
      <c r="G3939" s="8" t="s">
        <v>698</v>
      </c>
      <c r="H3939" s="8" t="s">
        <v>1622</v>
      </c>
      <c r="I3939" s="16" t="s">
        <v>296</v>
      </c>
      <c r="J3939" s="16">
        <v>16.861897519999999</v>
      </c>
      <c r="K3939" s="16">
        <v>-94.72805194</v>
      </c>
      <c r="L3939" s="16" t="str">
        <f>HYPERLINK("https://maps.google.com/?q=16.86189752,-94.72805194", "🔗 Ver Mapa")</f>
        <v>🔗 Ver Mapa</v>
      </c>
    </row>
    <row r="3940" spans="1:12" ht="43.5" x14ac:dyDescent="0.35">
      <c r="A3940" s="6" t="s">
        <v>1619</v>
      </c>
      <c r="B3940" s="6" t="s">
        <v>1620</v>
      </c>
      <c r="C3940" s="6" t="s">
        <v>1621</v>
      </c>
      <c r="D3940" s="11" t="s">
        <v>219</v>
      </c>
      <c r="E3940" s="17" t="s">
        <v>77</v>
      </c>
      <c r="F3940" s="17" t="s">
        <v>88</v>
      </c>
      <c r="G3940" s="11" t="s">
        <v>698</v>
      </c>
      <c r="H3940" s="11" t="s">
        <v>1622</v>
      </c>
      <c r="I3940" s="17" t="s">
        <v>296</v>
      </c>
      <c r="J3940" s="17">
        <v>16.862394309999999</v>
      </c>
      <c r="K3940" s="17">
        <v>-94.728075219999994</v>
      </c>
      <c r="L3940" s="17" t="str">
        <f>HYPERLINK("https://maps.google.com/?q=16.86239431,-94.72807522", "🔗 Ver Mapa")</f>
        <v>🔗 Ver Mapa</v>
      </c>
    </row>
    <row r="3941" spans="1:12" ht="43.5" x14ac:dyDescent="0.35">
      <c r="A3941" s="5" t="s">
        <v>1619</v>
      </c>
      <c r="B3941" s="5" t="s">
        <v>1620</v>
      </c>
      <c r="C3941" s="5" t="s">
        <v>1621</v>
      </c>
      <c r="D3941" s="8" t="s">
        <v>219</v>
      </c>
      <c r="E3941" s="16" t="s">
        <v>77</v>
      </c>
      <c r="F3941" s="16" t="s">
        <v>88</v>
      </c>
      <c r="G3941" s="8" t="s">
        <v>698</v>
      </c>
      <c r="H3941" s="8" t="s">
        <v>1622</v>
      </c>
      <c r="I3941" s="16" t="s">
        <v>296</v>
      </c>
      <c r="J3941" s="16">
        <v>16.862789190000001</v>
      </c>
      <c r="K3941" s="16">
        <v>-94.728397880000003</v>
      </c>
      <c r="L3941" s="16" t="str">
        <f>HYPERLINK("https://maps.google.com/?q=16.86278919,-94.72839788", "🔗 Ver Mapa")</f>
        <v>🔗 Ver Mapa</v>
      </c>
    </row>
    <row r="3942" spans="1:12" ht="43.5" x14ac:dyDescent="0.35">
      <c r="A3942" s="6" t="s">
        <v>1619</v>
      </c>
      <c r="B3942" s="6" t="s">
        <v>1620</v>
      </c>
      <c r="C3942" s="6" t="s">
        <v>1621</v>
      </c>
      <c r="D3942" s="11" t="s">
        <v>219</v>
      </c>
      <c r="E3942" s="17" t="s">
        <v>77</v>
      </c>
      <c r="F3942" s="17" t="s">
        <v>88</v>
      </c>
      <c r="G3942" s="11" t="s">
        <v>698</v>
      </c>
      <c r="H3942" s="11" t="s">
        <v>1622</v>
      </c>
      <c r="I3942" s="17" t="s">
        <v>296</v>
      </c>
      <c r="J3942" s="17">
        <v>16.863415249999999</v>
      </c>
      <c r="K3942" s="17">
        <v>-94.728093889999997</v>
      </c>
      <c r="L3942" s="17" t="str">
        <f>HYPERLINK("https://maps.google.com/?q=16.86341525,-94.72809389", "🔗 Ver Mapa")</f>
        <v>🔗 Ver Mapa</v>
      </c>
    </row>
    <row r="3943" spans="1:12" ht="43.5" x14ac:dyDescent="0.35">
      <c r="A3943" s="5" t="s">
        <v>1619</v>
      </c>
      <c r="B3943" s="5" t="s">
        <v>1620</v>
      </c>
      <c r="C3943" s="5" t="s">
        <v>1621</v>
      </c>
      <c r="D3943" s="8" t="s">
        <v>219</v>
      </c>
      <c r="E3943" s="16" t="s">
        <v>77</v>
      </c>
      <c r="F3943" s="16" t="s">
        <v>88</v>
      </c>
      <c r="G3943" s="8" t="s">
        <v>698</v>
      </c>
      <c r="H3943" s="8" t="s">
        <v>1622</v>
      </c>
      <c r="I3943" s="16" t="s">
        <v>296</v>
      </c>
      <c r="J3943" s="16">
        <v>16.8641392</v>
      </c>
      <c r="K3943" s="16">
        <v>-94.727969090000002</v>
      </c>
      <c r="L3943" s="16" t="str">
        <f>HYPERLINK("https://maps.google.com/?q=16.8641392,-94.72796909", "🔗 Ver Mapa")</f>
        <v>🔗 Ver Mapa</v>
      </c>
    </row>
    <row r="3944" spans="1:12" ht="43.5" x14ac:dyDescent="0.35">
      <c r="A3944" s="6" t="s">
        <v>1619</v>
      </c>
      <c r="B3944" s="6" t="s">
        <v>1620</v>
      </c>
      <c r="C3944" s="6" t="s">
        <v>1621</v>
      </c>
      <c r="D3944" s="11" t="s">
        <v>219</v>
      </c>
      <c r="E3944" s="17" t="s">
        <v>77</v>
      </c>
      <c r="F3944" s="17" t="s">
        <v>88</v>
      </c>
      <c r="G3944" s="11" t="s">
        <v>698</v>
      </c>
      <c r="H3944" s="11" t="s">
        <v>1622</v>
      </c>
      <c r="I3944" s="17" t="s">
        <v>296</v>
      </c>
      <c r="J3944" s="17">
        <v>16.864809650000002</v>
      </c>
      <c r="K3944" s="17">
        <v>-94.727759340000006</v>
      </c>
      <c r="L3944" s="17" t="str">
        <f>HYPERLINK("https://maps.google.com/?q=16.86480965,-94.72775934", "🔗 Ver Mapa")</f>
        <v>🔗 Ver Mapa</v>
      </c>
    </row>
    <row r="3945" spans="1:12" ht="43.5" x14ac:dyDescent="0.35">
      <c r="A3945" s="5" t="s">
        <v>1619</v>
      </c>
      <c r="B3945" s="5" t="s">
        <v>1620</v>
      </c>
      <c r="C3945" s="5" t="s">
        <v>1621</v>
      </c>
      <c r="D3945" s="8" t="s">
        <v>219</v>
      </c>
      <c r="E3945" s="16" t="s">
        <v>77</v>
      </c>
      <c r="F3945" s="16" t="s">
        <v>88</v>
      </c>
      <c r="G3945" s="8" t="s">
        <v>698</v>
      </c>
      <c r="H3945" s="8" t="s">
        <v>1622</v>
      </c>
      <c r="I3945" s="16" t="s">
        <v>296</v>
      </c>
      <c r="J3945" s="16">
        <v>16.865701380000001</v>
      </c>
      <c r="K3945" s="16">
        <v>-94.727026069999994</v>
      </c>
      <c r="L3945" s="16" t="str">
        <f>HYPERLINK("https://maps.google.com/?q=16.86570138,-94.72702607", "🔗 Ver Mapa")</f>
        <v>🔗 Ver Mapa</v>
      </c>
    </row>
    <row r="3946" spans="1:12" ht="43.5" x14ac:dyDescent="0.35">
      <c r="A3946" s="6" t="s">
        <v>1619</v>
      </c>
      <c r="B3946" s="6" t="s">
        <v>1620</v>
      </c>
      <c r="C3946" s="6" t="s">
        <v>1621</v>
      </c>
      <c r="D3946" s="11" t="s">
        <v>219</v>
      </c>
      <c r="E3946" s="17" t="s">
        <v>77</v>
      </c>
      <c r="F3946" s="17" t="s">
        <v>88</v>
      </c>
      <c r="G3946" s="11" t="s">
        <v>698</v>
      </c>
      <c r="H3946" s="11" t="s">
        <v>1622</v>
      </c>
      <c r="I3946" s="17" t="s">
        <v>296</v>
      </c>
      <c r="J3946" s="17">
        <v>16.866247699999999</v>
      </c>
      <c r="K3946" s="17">
        <v>-94.726533660000001</v>
      </c>
      <c r="L3946" s="17" t="str">
        <f>HYPERLINK("https://maps.google.com/?q=16.8662477,-94.72653366", "🔗 Ver Mapa")</f>
        <v>🔗 Ver Mapa</v>
      </c>
    </row>
    <row r="3947" spans="1:12" ht="43.5" x14ac:dyDescent="0.35">
      <c r="A3947" s="5" t="s">
        <v>1619</v>
      </c>
      <c r="B3947" s="5" t="s">
        <v>1620</v>
      </c>
      <c r="C3947" s="5" t="s">
        <v>1621</v>
      </c>
      <c r="D3947" s="8" t="s">
        <v>219</v>
      </c>
      <c r="E3947" s="16" t="s">
        <v>77</v>
      </c>
      <c r="F3947" s="16" t="s">
        <v>88</v>
      </c>
      <c r="G3947" s="8" t="s">
        <v>698</v>
      </c>
      <c r="H3947" s="8" t="s">
        <v>1622</v>
      </c>
      <c r="I3947" s="16" t="s">
        <v>296</v>
      </c>
      <c r="J3947" s="16">
        <v>16.866903390000001</v>
      </c>
      <c r="K3947" s="16">
        <v>-94.725929620000002</v>
      </c>
      <c r="L3947" s="16" t="str">
        <f>HYPERLINK("https://maps.google.com/?q=16.86690339,-94.72592962", "🔗 Ver Mapa")</f>
        <v>🔗 Ver Mapa</v>
      </c>
    </row>
    <row r="3948" spans="1:12" ht="43.5" x14ac:dyDescent="0.35">
      <c r="A3948" s="6" t="s">
        <v>1619</v>
      </c>
      <c r="B3948" s="6" t="s">
        <v>1620</v>
      </c>
      <c r="C3948" s="6" t="s">
        <v>1621</v>
      </c>
      <c r="D3948" s="11" t="s">
        <v>219</v>
      </c>
      <c r="E3948" s="17" t="s">
        <v>77</v>
      </c>
      <c r="F3948" s="17" t="s">
        <v>88</v>
      </c>
      <c r="G3948" s="11" t="s">
        <v>698</v>
      </c>
      <c r="H3948" s="11" t="s">
        <v>1622</v>
      </c>
      <c r="I3948" s="17" t="s">
        <v>296</v>
      </c>
      <c r="J3948" s="17">
        <v>16.867457170000002</v>
      </c>
      <c r="K3948" s="17">
        <v>-94.725624960000005</v>
      </c>
      <c r="L3948" s="17" t="str">
        <f>HYPERLINK("https://maps.google.com/?q=16.86745717,-94.72562496", "🔗 Ver Mapa")</f>
        <v>🔗 Ver Mapa</v>
      </c>
    </row>
    <row r="3949" spans="1:12" ht="43.5" x14ac:dyDescent="0.35">
      <c r="A3949" s="5" t="s">
        <v>1619</v>
      </c>
      <c r="B3949" s="5" t="s">
        <v>1620</v>
      </c>
      <c r="C3949" s="5" t="s">
        <v>1621</v>
      </c>
      <c r="D3949" s="8" t="s">
        <v>219</v>
      </c>
      <c r="E3949" s="16" t="s">
        <v>77</v>
      </c>
      <c r="F3949" s="16" t="s">
        <v>88</v>
      </c>
      <c r="G3949" s="8" t="s">
        <v>698</v>
      </c>
      <c r="H3949" s="8" t="s">
        <v>1622</v>
      </c>
      <c r="I3949" s="16" t="s">
        <v>296</v>
      </c>
      <c r="J3949" s="16">
        <v>16.868424449999999</v>
      </c>
      <c r="K3949" s="16">
        <v>-94.725577430000001</v>
      </c>
      <c r="L3949" s="16" t="str">
        <f>HYPERLINK("https://maps.google.com/?q=16.86842445,-94.72557743", "🔗 Ver Mapa")</f>
        <v>🔗 Ver Mapa</v>
      </c>
    </row>
    <row r="3950" spans="1:12" ht="43.5" x14ac:dyDescent="0.35">
      <c r="A3950" s="6" t="s">
        <v>1619</v>
      </c>
      <c r="B3950" s="6" t="s">
        <v>1620</v>
      </c>
      <c r="C3950" s="6" t="s">
        <v>1621</v>
      </c>
      <c r="D3950" s="11" t="s">
        <v>219</v>
      </c>
      <c r="E3950" s="17" t="s">
        <v>77</v>
      </c>
      <c r="F3950" s="17" t="s">
        <v>88</v>
      </c>
      <c r="G3950" s="11" t="s">
        <v>698</v>
      </c>
      <c r="H3950" s="11" t="s">
        <v>1622</v>
      </c>
      <c r="I3950" s="17" t="s">
        <v>296</v>
      </c>
      <c r="J3950" s="17">
        <v>16.869106330000001</v>
      </c>
      <c r="K3950" s="17">
        <v>-94.726156090000003</v>
      </c>
      <c r="L3950" s="17" t="str">
        <f>HYPERLINK("https://maps.google.com/?q=16.86910633,-94.72615609", "🔗 Ver Mapa")</f>
        <v>🔗 Ver Mapa</v>
      </c>
    </row>
    <row r="3951" spans="1:12" ht="43.5" x14ac:dyDescent="0.35">
      <c r="A3951" s="5" t="s">
        <v>1619</v>
      </c>
      <c r="B3951" s="5" t="s">
        <v>1620</v>
      </c>
      <c r="C3951" s="5" t="s">
        <v>1621</v>
      </c>
      <c r="D3951" s="8" t="s">
        <v>219</v>
      </c>
      <c r="E3951" s="16" t="s">
        <v>77</v>
      </c>
      <c r="F3951" s="16" t="s">
        <v>88</v>
      </c>
      <c r="G3951" s="8" t="s">
        <v>698</v>
      </c>
      <c r="H3951" s="8" t="s">
        <v>1622</v>
      </c>
      <c r="I3951" s="16" t="s">
        <v>296</v>
      </c>
      <c r="J3951" s="16">
        <v>16.869601230000001</v>
      </c>
      <c r="K3951" s="16">
        <v>-94.726404579999993</v>
      </c>
      <c r="L3951" s="16" t="str">
        <f>HYPERLINK("https://maps.google.com/?q=16.86960123,-94.72640458", "🔗 Ver Mapa")</f>
        <v>🔗 Ver Mapa</v>
      </c>
    </row>
    <row r="3952" spans="1:12" ht="43.5" x14ac:dyDescent="0.35">
      <c r="A3952" s="6" t="s">
        <v>1619</v>
      </c>
      <c r="B3952" s="6" t="s">
        <v>1620</v>
      </c>
      <c r="C3952" s="6" t="s">
        <v>1621</v>
      </c>
      <c r="D3952" s="11" t="s">
        <v>219</v>
      </c>
      <c r="E3952" s="17" t="s">
        <v>77</v>
      </c>
      <c r="F3952" s="17" t="s">
        <v>88</v>
      </c>
      <c r="G3952" s="11" t="s">
        <v>698</v>
      </c>
      <c r="H3952" s="11" t="s">
        <v>1622</v>
      </c>
      <c r="I3952" s="17" t="s">
        <v>296</v>
      </c>
      <c r="J3952" s="17">
        <v>16.87028158</v>
      </c>
      <c r="K3952" s="17">
        <v>-94.726091679999996</v>
      </c>
      <c r="L3952" s="17" t="str">
        <f>HYPERLINK("https://maps.google.com/?q=16.87028158,-94.72609168", "🔗 Ver Mapa")</f>
        <v>🔗 Ver Mapa</v>
      </c>
    </row>
    <row r="3953" spans="1:12" ht="43.5" x14ac:dyDescent="0.35">
      <c r="A3953" s="5" t="s">
        <v>1619</v>
      </c>
      <c r="B3953" s="5" t="s">
        <v>1620</v>
      </c>
      <c r="C3953" s="5" t="s">
        <v>1621</v>
      </c>
      <c r="D3953" s="8" t="s">
        <v>219</v>
      </c>
      <c r="E3953" s="16" t="s">
        <v>77</v>
      </c>
      <c r="F3953" s="16" t="s">
        <v>88</v>
      </c>
      <c r="G3953" s="8" t="s">
        <v>698</v>
      </c>
      <c r="H3953" s="8" t="s">
        <v>1622</v>
      </c>
      <c r="I3953" s="16" t="s">
        <v>296</v>
      </c>
      <c r="J3953" s="16">
        <v>16.870743180000002</v>
      </c>
      <c r="K3953" s="16">
        <v>-94.726002030000004</v>
      </c>
      <c r="L3953" s="16" t="str">
        <f>HYPERLINK("https://maps.google.com/?q=16.87074318,-94.72600203", "🔗 Ver Mapa")</f>
        <v>🔗 Ver Mapa</v>
      </c>
    </row>
    <row r="3954" spans="1:12" ht="43.5" x14ac:dyDescent="0.35">
      <c r="A3954" s="6" t="s">
        <v>1619</v>
      </c>
      <c r="B3954" s="6" t="s">
        <v>1620</v>
      </c>
      <c r="C3954" s="6" t="s">
        <v>1621</v>
      </c>
      <c r="D3954" s="11" t="s">
        <v>219</v>
      </c>
      <c r="E3954" s="17" t="s">
        <v>77</v>
      </c>
      <c r="F3954" s="17" t="s">
        <v>88</v>
      </c>
      <c r="G3954" s="11" t="s">
        <v>698</v>
      </c>
      <c r="H3954" s="11" t="s">
        <v>1622</v>
      </c>
      <c r="I3954" s="17" t="s">
        <v>296</v>
      </c>
      <c r="J3954" s="17">
        <v>16.871191400000001</v>
      </c>
      <c r="K3954" s="17">
        <v>-94.726428409999997</v>
      </c>
      <c r="L3954" s="17" t="str">
        <f>HYPERLINK("https://maps.google.com/?q=16.8711914,-94.72642841", "🔗 Ver Mapa")</f>
        <v>🔗 Ver Mapa</v>
      </c>
    </row>
    <row r="3955" spans="1:12" ht="43.5" x14ac:dyDescent="0.35">
      <c r="A3955" s="5" t="s">
        <v>1619</v>
      </c>
      <c r="B3955" s="5" t="s">
        <v>1620</v>
      </c>
      <c r="C3955" s="5" t="s">
        <v>1621</v>
      </c>
      <c r="D3955" s="8" t="s">
        <v>219</v>
      </c>
      <c r="E3955" s="16" t="s">
        <v>77</v>
      </c>
      <c r="F3955" s="16" t="s">
        <v>88</v>
      </c>
      <c r="G3955" s="8" t="s">
        <v>698</v>
      </c>
      <c r="H3955" s="8" t="s">
        <v>1622</v>
      </c>
      <c r="I3955" s="16" t="s">
        <v>296</v>
      </c>
      <c r="J3955" s="16">
        <v>16.871490600000001</v>
      </c>
      <c r="K3955" s="16">
        <v>-94.726309130000004</v>
      </c>
      <c r="L3955" s="16" t="str">
        <f>HYPERLINK("https://maps.google.com/?q=16.8714906,-94.72630913", "🔗 Ver Mapa")</f>
        <v>🔗 Ver Mapa</v>
      </c>
    </row>
    <row r="3956" spans="1:12" ht="43.5" x14ac:dyDescent="0.35">
      <c r="A3956" s="6" t="s">
        <v>1619</v>
      </c>
      <c r="B3956" s="6" t="s">
        <v>1620</v>
      </c>
      <c r="C3956" s="6" t="s">
        <v>1621</v>
      </c>
      <c r="D3956" s="11" t="s">
        <v>219</v>
      </c>
      <c r="E3956" s="17" t="s">
        <v>77</v>
      </c>
      <c r="F3956" s="17" t="s">
        <v>88</v>
      </c>
      <c r="G3956" s="11" t="s">
        <v>698</v>
      </c>
      <c r="H3956" s="11" t="s">
        <v>1622</v>
      </c>
      <c r="I3956" s="17" t="s">
        <v>296</v>
      </c>
      <c r="J3956" s="17">
        <v>16.871594810000001</v>
      </c>
      <c r="K3956" s="17">
        <v>-94.725737609999996</v>
      </c>
      <c r="L3956" s="17" t="str">
        <f>HYPERLINK("https://maps.google.com/?q=16.87159481,-94.72573761", "🔗 Ver Mapa")</f>
        <v>🔗 Ver Mapa</v>
      </c>
    </row>
    <row r="3957" spans="1:12" ht="43.5" x14ac:dyDescent="0.35">
      <c r="A3957" s="5" t="s">
        <v>1619</v>
      </c>
      <c r="B3957" s="5" t="s">
        <v>1620</v>
      </c>
      <c r="C3957" s="5" t="s">
        <v>1621</v>
      </c>
      <c r="D3957" s="8" t="s">
        <v>219</v>
      </c>
      <c r="E3957" s="16" t="s">
        <v>77</v>
      </c>
      <c r="F3957" s="16" t="s">
        <v>88</v>
      </c>
      <c r="G3957" s="8" t="s">
        <v>698</v>
      </c>
      <c r="H3957" s="8" t="s">
        <v>1622</v>
      </c>
      <c r="I3957" s="16" t="s">
        <v>296</v>
      </c>
      <c r="J3957" s="16">
        <v>16.872067269999999</v>
      </c>
      <c r="K3957" s="16">
        <v>-94.7254322</v>
      </c>
      <c r="L3957" s="16" t="str">
        <f>HYPERLINK("https://maps.google.com/?q=16.87206727,-94.7254322", "🔗 Ver Mapa")</f>
        <v>🔗 Ver Mapa</v>
      </c>
    </row>
    <row r="3958" spans="1:12" ht="43.5" x14ac:dyDescent="0.35">
      <c r="A3958" s="6" t="s">
        <v>1619</v>
      </c>
      <c r="B3958" s="6" t="s">
        <v>1620</v>
      </c>
      <c r="C3958" s="6" t="s">
        <v>1621</v>
      </c>
      <c r="D3958" s="11" t="s">
        <v>219</v>
      </c>
      <c r="E3958" s="17" t="s">
        <v>77</v>
      </c>
      <c r="F3958" s="17" t="s">
        <v>88</v>
      </c>
      <c r="G3958" s="11" t="s">
        <v>698</v>
      </c>
      <c r="H3958" s="11" t="s">
        <v>1622</v>
      </c>
      <c r="I3958" s="17" t="s">
        <v>296</v>
      </c>
      <c r="J3958" s="17">
        <v>16.872252639999999</v>
      </c>
      <c r="K3958" s="17">
        <v>-94.72488018</v>
      </c>
      <c r="L3958" s="17" t="str">
        <f>HYPERLINK("https://maps.google.com/?q=16.87225264,-94.72488018", "🔗 Ver Mapa")</f>
        <v>🔗 Ver Mapa</v>
      </c>
    </row>
    <row r="3959" spans="1:12" ht="43.5" x14ac:dyDescent="0.35">
      <c r="A3959" s="5" t="s">
        <v>1619</v>
      </c>
      <c r="B3959" s="5" t="s">
        <v>1620</v>
      </c>
      <c r="C3959" s="5" t="s">
        <v>1621</v>
      </c>
      <c r="D3959" s="8" t="s">
        <v>219</v>
      </c>
      <c r="E3959" s="16" t="s">
        <v>77</v>
      </c>
      <c r="F3959" s="16" t="s">
        <v>88</v>
      </c>
      <c r="G3959" s="8" t="s">
        <v>698</v>
      </c>
      <c r="H3959" s="8" t="s">
        <v>1622</v>
      </c>
      <c r="I3959" s="16" t="s">
        <v>296</v>
      </c>
      <c r="J3959" s="16">
        <v>16.872158859999999</v>
      </c>
      <c r="K3959" s="16">
        <v>-94.72421301</v>
      </c>
      <c r="L3959" s="16" t="str">
        <f>HYPERLINK("https://maps.google.com/?q=16.87215886,-94.72421301", "🔗 Ver Mapa")</f>
        <v>🔗 Ver Mapa</v>
      </c>
    </row>
    <row r="3960" spans="1:12" ht="43.5" x14ac:dyDescent="0.35">
      <c r="A3960" s="6" t="s">
        <v>1619</v>
      </c>
      <c r="B3960" s="6" t="s">
        <v>1620</v>
      </c>
      <c r="C3960" s="6" t="s">
        <v>1621</v>
      </c>
      <c r="D3960" s="11" t="s">
        <v>219</v>
      </c>
      <c r="E3960" s="17" t="s">
        <v>77</v>
      </c>
      <c r="F3960" s="17" t="s">
        <v>88</v>
      </c>
      <c r="G3960" s="11" t="s">
        <v>698</v>
      </c>
      <c r="H3960" s="11" t="s">
        <v>1622</v>
      </c>
      <c r="I3960" s="17" t="s">
        <v>296</v>
      </c>
      <c r="J3960" s="17">
        <v>16.87279182</v>
      </c>
      <c r="K3960" s="17">
        <v>-94.724162449999994</v>
      </c>
      <c r="L3960" s="17" t="str">
        <f>HYPERLINK("https://maps.google.com/?q=16.87279182,-94.72416245", "🔗 Ver Mapa")</f>
        <v>🔗 Ver Mapa</v>
      </c>
    </row>
    <row r="3961" spans="1:12" ht="43.5" x14ac:dyDescent="0.35">
      <c r="A3961" s="5" t="s">
        <v>1619</v>
      </c>
      <c r="B3961" s="5" t="s">
        <v>1620</v>
      </c>
      <c r="C3961" s="5" t="s">
        <v>1621</v>
      </c>
      <c r="D3961" s="8" t="s">
        <v>219</v>
      </c>
      <c r="E3961" s="16" t="s">
        <v>77</v>
      </c>
      <c r="F3961" s="16" t="s">
        <v>88</v>
      </c>
      <c r="G3961" s="8" t="s">
        <v>698</v>
      </c>
      <c r="H3961" s="8" t="s">
        <v>1622</v>
      </c>
      <c r="I3961" s="16" t="s">
        <v>296</v>
      </c>
      <c r="J3961" s="16">
        <v>16.873388559999999</v>
      </c>
      <c r="K3961" s="16">
        <v>-94.724120940000006</v>
      </c>
      <c r="L3961" s="16" t="str">
        <f>HYPERLINK("https://maps.google.com/?q=16.87338856,-94.72412094", "🔗 Ver Mapa")</f>
        <v>🔗 Ver Mapa</v>
      </c>
    </row>
    <row r="3962" spans="1:12" ht="43.5" x14ac:dyDescent="0.35">
      <c r="A3962" s="6" t="s">
        <v>1619</v>
      </c>
      <c r="B3962" s="6" t="s">
        <v>1620</v>
      </c>
      <c r="C3962" s="6" t="s">
        <v>1621</v>
      </c>
      <c r="D3962" s="11" t="s">
        <v>219</v>
      </c>
      <c r="E3962" s="17" t="s">
        <v>77</v>
      </c>
      <c r="F3962" s="17" t="s">
        <v>88</v>
      </c>
      <c r="G3962" s="11" t="s">
        <v>698</v>
      </c>
      <c r="H3962" s="11" t="s">
        <v>1622</v>
      </c>
      <c r="I3962" s="17" t="s">
        <v>296</v>
      </c>
      <c r="J3962" s="17">
        <v>16.873731240000001</v>
      </c>
      <c r="K3962" s="17">
        <v>-94.72312925</v>
      </c>
      <c r="L3962" s="17" t="str">
        <f>HYPERLINK("https://maps.google.com/?q=16.87373124,-94.72312925", "🔗 Ver Mapa")</f>
        <v>🔗 Ver Mapa</v>
      </c>
    </row>
    <row r="3963" spans="1:12" ht="43.5" x14ac:dyDescent="0.35">
      <c r="A3963" s="5" t="s">
        <v>1619</v>
      </c>
      <c r="B3963" s="5" t="s">
        <v>1620</v>
      </c>
      <c r="C3963" s="5" t="s">
        <v>1621</v>
      </c>
      <c r="D3963" s="8" t="s">
        <v>219</v>
      </c>
      <c r="E3963" s="16" t="s">
        <v>77</v>
      </c>
      <c r="F3963" s="16" t="s">
        <v>88</v>
      </c>
      <c r="G3963" s="8" t="s">
        <v>698</v>
      </c>
      <c r="H3963" s="8" t="s">
        <v>1622</v>
      </c>
      <c r="I3963" s="16" t="s">
        <v>296</v>
      </c>
      <c r="J3963" s="16">
        <v>16.874059039999999</v>
      </c>
      <c r="K3963" s="16">
        <v>-94.722831909999996</v>
      </c>
      <c r="L3963" s="16" t="str">
        <f>HYPERLINK("https://maps.google.com/?q=16.87405904,-94.72283191", "🔗 Ver Mapa")</f>
        <v>🔗 Ver Mapa</v>
      </c>
    </row>
    <row r="3964" spans="1:12" ht="43.5" x14ac:dyDescent="0.35">
      <c r="A3964" s="6" t="s">
        <v>1619</v>
      </c>
      <c r="B3964" s="6" t="s">
        <v>1620</v>
      </c>
      <c r="C3964" s="6" t="s">
        <v>1621</v>
      </c>
      <c r="D3964" s="11" t="s">
        <v>219</v>
      </c>
      <c r="E3964" s="17" t="s">
        <v>77</v>
      </c>
      <c r="F3964" s="17" t="s">
        <v>88</v>
      </c>
      <c r="G3964" s="11" t="s">
        <v>698</v>
      </c>
      <c r="H3964" s="11" t="s">
        <v>1622</v>
      </c>
      <c r="I3964" s="17" t="s">
        <v>296</v>
      </c>
      <c r="J3964" s="17">
        <v>16.87977364</v>
      </c>
      <c r="K3964" s="17">
        <v>-94.712691430000007</v>
      </c>
      <c r="L3964" s="17" t="str">
        <f>HYPERLINK("https://maps.google.com/?q=16.87977364,-94.71269143", "🔗 Ver Mapa")</f>
        <v>🔗 Ver Mapa</v>
      </c>
    </row>
    <row r="3965" spans="1:12" ht="43.5" x14ac:dyDescent="0.35">
      <c r="A3965" s="5" t="s">
        <v>1619</v>
      </c>
      <c r="B3965" s="5" t="s">
        <v>1620</v>
      </c>
      <c r="C3965" s="5" t="s">
        <v>1621</v>
      </c>
      <c r="D3965" s="8" t="s">
        <v>219</v>
      </c>
      <c r="E3965" s="16" t="s">
        <v>77</v>
      </c>
      <c r="F3965" s="16" t="s">
        <v>88</v>
      </c>
      <c r="G3965" s="8" t="s">
        <v>698</v>
      </c>
      <c r="H3965" s="8" t="s">
        <v>1622</v>
      </c>
      <c r="I3965" s="16" t="s">
        <v>296</v>
      </c>
      <c r="J3965" s="16">
        <v>16.879975479999999</v>
      </c>
      <c r="K3965" s="16">
        <v>-94.71232723</v>
      </c>
      <c r="L3965" s="16" t="str">
        <f>HYPERLINK("https://maps.google.com/?q=16.87997548,-94.71232723", "🔗 Ver Mapa")</f>
        <v>🔗 Ver Mapa</v>
      </c>
    </row>
    <row r="3966" spans="1:12" ht="43.5" x14ac:dyDescent="0.35">
      <c r="A3966" s="6" t="s">
        <v>1619</v>
      </c>
      <c r="B3966" s="6" t="s">
        <v>1620</v>
      </c>
      <c r="C3966" s="6" t="s">
        <v>1621</v>
      </c>
      <c r="D3966" s="11" t="s">
        <v>219</v>
      </c>
      <c r="E3966" s="17" t="s">
        <v>77</v>
      </c>
      <c r="F3966" s="17" t="s">
        <v>88</v>
      </c>
      <c r="G3966" s="11" t="s">
        <v>698</v>
      </c>
      <c r="H3966" s="11" t="s">
        <v>1622</v>
      </c>
      <c r="I3966" s="17" t="s">
        <v>296</v>
      </c>
      <c r="J3966" s="17">
        <v>16.880601840000001</v>
      </c>
      <c r="K3966" s="17">
        <v>-94.711985619999993</v>
      </c>
      <c r="L3966" s="17" t="str">
        <f>HYPERLINK("https://maps.google.com/?q=16.88060184,-94.71198562", "🔗 Ver Mapa")</f>
        <v>🔗 Ver Mapa</v>
      </c>
    </row>
    <row r="3967" spans="1:12" ht="43.5" x14ac:dyDescent="0.35">
      <c r="A3967" s="5" t="s">
        <v>1619</v>
      </c>
      <c r="B3967" s="5" t="s">
        <v>1620</v>
      </c>
      <c r="C3967" s="5" t="s">
        <v>1621</v>
      </c>
      <c r="D3967" s="8" t="s">
        <v>219</v>
      </c>
      <c r="E3967" s="16" t="s">
        <v>77</v>
      </c>
      <c r="F3967" s="16" t="s">
        <v>88</v>
      </c>
      <c r="G3967" s="8" t="s">
        <v>698</v>
      </c>
      <c r="H3967" s="8" t="s">
        <v>1622</v>
      </c>
      <c r="I3967" s="16" t="s">
        <v>296</v>
      </c>
      <c r="J3967" s="16">
        <v>16.880919810000002</v>
      </c>
      <c r="K3967" s="16">
        <v>-94.711782009999993</v>
      </c>
      <c r="L3967" s="16" t="str">
        <f>HYPERLINK("https://maps.google.com/?q=16.88091981,-94.71178201", "🔗 Ver Mapa")</f>
        <v>🔗 Ver Mapa</v>
      </c>
    </row>
    <row r="3968" spans="1:12" ht="43.5" x14ac:dyDescent="0.35">
      <c r="A3968" s="6" t="s">
        <v>1619</v>
      </c>
      <c r="B3968" s="6" t="s">
        <v>1620</v>
      </c>
      <c r="C3968" s="6" t="s">
        <v>1621</v>
      </c>
      <c r="D3968" s="11" t="s">
        <v>219</v>
      </c>
      <c r="E3968" s="17" t="s">
        <v>77</v>
      </c>
      <c r="F3968" s="17" t="s">
        <v>88</v>
      </c>
      <c r="G3968" s="11" t="s">
        <v>698</v>
      </c>
      <c r="H3968" s="11" t="s">
        <v>1622</v>
      </c>
      <c r="I3968" s="17" t="s">
        <v>296</v>
      </c>
      <c r="J3968" s="17">
        <v>16.881319489999999</v>
      </c>
      <c r="K3968" s="17">
        <v>-94.711532210000001</v>
      </c>
      <c r="L3968" s="17" t="str">
        <f>HYPERLINK("https://maps.google.com/?q=16.88131949,-94.71153221", "🔗 Ver Mapa")</f>
        <v>🔗 Ver Mapa</v>
      </c>
    </row>
    <row r="3969" spans="1:12" ht="43.5" x14ac:dyDescent="0.35">
      <c r="A3969" s="5" t="s">
        <v>1619</v>
      </c>
      <c r="B3969" s="5" t="s">
        <v>1620</v>
      </c>
      <c r="C3969" s="5" t="s">
        <v>1621</v>
      </c>
      <c r="D3969" s="8" t="s">
        <v>219</v>
      </c>
      <c r="E3969" s="16" t="s">
        <v>77</v>
      </c>
      <c r="F3969" s="16" t="s">
        <v>88</v>
      </c>
      <c r="G3969" s="8" t="s">
        <v>698</v>
      </c>
      <c r="H3969" s="8" t="s">
        <v>1622</v>
      </c>
      <c r="I3969" s="16" t="s">
        <v>296</v>
      </c>
      <c r="J3969" s="16">
        <v>16.881820449999999</v>
      </c>
      <c r="K3969" s="16">
        <v>-94.711058070000007</v>
      </c>
      <c r="L3969" s="16" t="str">
        <f>HYPERLINK("https://maps.google.com/?q=16.88182045,-94.71105807", "🔗 Ver Mapa")</f>
        <v>🔗 Ver Mapa</v>
      </c>
    </row>
    <row r="3970" spans="1:12" ht="43.5" x14ac:dyDescent="0.35">
      <c r="A3970" s="6" t="s">
        <v>1619</v>
      </c>
      <c r="B3970" s="6" t="s">
        <v>1620</v>
      </c>
      <c r="C3970" s="6" t="s">
        <v>1621</v>
      </c>
      <c r="D3970" s="11" t="s">
        <v>219</v>
      </c>
      <c r="E3970" s="17" t="s">
        <v>77</v>
      </c>
      <c r="F3970" s="17" t="s">
        <v>88</v>
      </c>
      <c r="G3970" s="11" t="s">
        <v>698</v>
      </c>
      <c r="H3970" s="11" t="s">
        <v>1622</v>
      </c>
      <c r="I3970" s="17" t="s">
        <v>296</v>
      </c>
      <c r="J3970" s="17">
        <v>16.882104940000001</v>
      </c>
      <c r="K3970" s="17">
        <v>-94.710535059999998</v>
      </c>
      <c r="L3970" s="17" t="str">
        <f>HYPERLINK("https://maps.google.com/?q=16.88210494,-94.71053506", "🔗 Ver Mapa")</f>
        <v>🔗 Ver Mapa</v>
      </c>
    </row>
    <row r="3971" spans="1:12" ht="43.5" x14ac:dyDescent="0.35">
      <c r="A3971" s="5" t="s">
        <v>1619</v>
      </c>
      <c r="B3971" s="5" t="s">
        <v>1620</v>
      </c>
      <c r="C3971" s="5" t="s">
        <v>1621</v>
      </c>
      <c r="D3971" s="8" t="s">
        <v>219</v>
      </c>
      <c r="E3971" s="16" t="s">
        <v>77</v>
      </c>
      <c r="F3971" s="16" t="s">
        <v>88</v>
      </c>
      <c r="G3971" s="8" t="s">
        <v>698</v>
      </c>
      <c r="H3971" s="8" t="s">
        <v>1622</v>
      </c>
      <c r="I3971" s="16" t="s">
        <v>296</v>
      </c>
      <c r="J3971" s="16">
        <v>16.88207577</v>
      </c>
      <c r="K3971" s="16">
        <v>-94.709699499999999</v>
      </c>
      <c r="L3971" s="16" t="str">
        <f>HYPERLINK("https://maps.google.com/?q=16.88207577,-94.7096995", "🔗 Ver Mapa")</f>
        <v>🔗 Ver Mapa</v>
      </c>
    </row>
    <row r="3972" spans="1:12" ht="43.5" x14ac:dyDescent="0.35">
      <c r="A3972" s="6" t="s">
        <v>1619</v>
      </c>
      <c r="B3972" s="6" t="s">
        <v>1620</v>
      </c>
      <c r="C3972" s="6" t="s">
        <v>1621</v>
      </c>
      <c r="D3972" s="11" t="s">
        <v>219</v>
      </c>
      <c r="E3972" s="17" t="s">
        <v>77</v>
      </c>
      <c r="F3972" s="17" t="s">
        <v>88</v>
      </c>
      <c r="G3972" s="11" t="s">
        <v>698</v>
      </c>
      <c r="H3972" s="11" t="s">
        <v>1622</v>
      </c>
      <c r="I3972" s="17" t="s">
        <v>296</v>
      </c>
      <c r="J3972" s="17">
        <v>16.882669740000001</v>
      </c>
      <c r="K3972" s="17">
        <v>-94.708907089999997</v>
      </c>
      <c r="L3972" s="17" t="str">
        <f>HYPERLINK("https://maps.google.com/?q=16.88266974,-94.70890709", "🔗 Ver Mapa")</f>
        <v>🔗 Ver Mapa</v>
      </c>
    </row>
    <row r="3973" spans="1:12" ht="43.5" x14ac:dyDescent="0.35">
      <c r="A3973" s="5" t="s">
        <v>1619</v>
      </c>
      <c r="B3973" s="5" t="s">
        <v>1620</v>
      </c>
      <c r="C3973" s="5" t="s">
        <v>1621</v>
      </c>
      <c r="D3973" s="8" t="s">
        <v>219</v>
      </c>
      <c r="E3973" s="16" t="s">
        <v>77</v>
      </c>
      <c r="F3973" s="16" t="s">
        <v>88</v>
      </c>
      <c r="G3973" s="8" t="s">
        <v>698</v>
      </c>
      <c r="H3973" s="8" t="s">
        <v>1622</v>
      </c>
      <c r="I3973" s="16" t="s">
        <v>296</v>
      </c>
      <c r="J3973" s="16">
        <v>16.883576590000001</v>
      </c>
      <c r="K3973" s="16">
        <v>-94.708521070000003</v>
      </c>
      <c r="L3973" s="16" t="str">
        <f>HYPERLINK("https://maps.google.com/?q=16.88357659,-94.70852107", "🔗 Ver Mapa")</f>
        <v>🔗 Ver Mapa</v>
      </c>
    </row>
    <row r="3974" spans="1:12" ht="43.5" x14ac:dyDescent="0.35">
      <c r="A3974" s="6" t="s">
        <v>1619</v>
      </c>
      <c r="B3974" s="6" t="s">
        <v>1620</v>
      </c>
      <c r="C3974" s="6" t="s">
        <v>1621</v>
      </c>
      <c r="D3974" s="11" t="s">
        <v>219</v>
      </c>
      <c r="E3974" s="17" t="s">
        <v>77</v>
      </c>
      <c r="F3974" s="17" t="s">
        <v>88</v>
      </c>
      <c r="G3974" s="11" t="s">
        <v>698</v>
      </c>
      <c r="H3974" s="11" t="s">
        <v>1622</v>
      </c>
      <c r="I3974" s="17" t="s">
        <v>296</v>
      </c>
      <c r="J3974" s="17">
        <v>16.88455424</v>
      </c>
      <c r="K3974" s="17">
        <v>-94.708314000000001</v>
      </c>
      <c r="L3974" s="17" t="str">
        <f>HYPERLINK("https://maps.google.com/?q=16.88455424,-94.708314", "🔗 Ver Mapa")</f>
        <v>🔗 Ver Mapa</v>
      </c>
    </row>
    <row r="3975" spans="1:12" ht="43.5" x14ac:dyDescent="0.35">
      <c r="A3975" s="5" t="s">
        <v>1619</v>
      </c>
      <c r="B3975" s="5" t="s">
        <v>1620</v>
      </c>
      <c r="C3975" s="5" t="s">
        <v>1621</v>
      </c>
      <c r="D3975" s="8" t="s">
        <v>219</v>
      </c>
      <c r="E3975" s="16" t="s">
        <v>77</v>
      </c>
      <c r="F3975" s="16" t="s">
        <v>88</v>
      </c>
      <c r="G3975" s="8" t="s">
        <v>698</v>
      </c>
      <c r="H3975" s="8" t="s">
        <v>1622</v>
      </c>
      <c r="I3975" s="16" t="s">
        <v>296</v>
      </c>
      <c r="J3975" s="16">
        <v>16.885380550000001</v>
      </c>
      <c r="K3975" s="16">
        <v>-94.707833390000005</v>
      </c>
      <c r="L3975" s="16" t="str">
        <f>HYPERLINK("https://maps.google.com/?q=16.88538055,-94.70783339", "🔗 Ver Mapa")</f>
        <v>🔗 Ver Mapa</v>
      </c>
    </row>
    <row r="3976" spans="1:12" ht="43.5" x14ac:dyDescent="0.35">
      <c r="A3976" s="6" t="s">
        <v>1619</v>
      </c>
      <c r="B3976" s="6" t="s">
        <v>1620</v>
      </c>
      <c r="C3976" s="6" t="s">
        <v>1621</v>
      </c>
      <c r="D3976" s="11" t="s">
        <v>219</v>
      </c>
      <c r="E3976" s="17" t="s">
        <v>77</v>
      </c>
      <c r="F3976" s="17" t="s">
        <v>88</v>
      </c>
      <c r="G3976" s="11" t="s">
        <v>698</v>
      </c>
      <c r="H3976" s="11" t="s">
        <v>1622</v>
      </c>
      <c r="I3976" s="17" t="s">
        <v>296</v>
      </c>
      <c r="J3976" s="17">
        <v>16.886087830000001</v>
      </c>
      <c r="K3976" s="17">
        <v>-94.707539409999995</v>
      </c>
      <c r="L3976" s="17" t="str">
        <f>HYPERLINK("https://maps.google.com/?q=16.88608783,-94.70753941", "🔗 Ver Mapa")</f>
        <v>🔗 Ver Mapa</v>
      </c>
    </row>
    <row r="3977" spans="1:12" ht="43.5" x14ac:dyDescent="0.35">
      <c r="A3977" s="5" t="s">
        <v>1619</v>
      </c>
      <c r="B3977" s="5" t="s">
        <v>1620</v>
      </c>
      <c r="C3977" s="5" t="s">
        <v>1621</v>
      </c>
      <c r="D3977" s="8" t="s">
        <v>219</v>
      </c>
      <c r="E3977" s="16" t="s">
        <v>77</v>
      </c>
      <c r="F3977" s="16" t="s">
        <v>88</v>
      </c>
      <c r="G3977" s="8" t="s">
        <v>698</v>
      </c>
      <c r="H3977" s="8" t="s">
        <v>1622</v>
      </c>
      <c r="I3977" s="16" t="s">
        <v>296</v>
      </c>
      <c r="J3977" s="16">
        <v>16.886685740000001</v>
      </c>
      <c r="K3977" s="16">
        <v>-94.707357079999994</v>
      </c>
      <c r="L3977" s="16" t="str">
        <f>HYPERLINK("https://maps.google.com/?q=16.88668574,-94.70735708", "🔗 Ver Mapa")</f>
        <v>🔗 Ver Mapa</v>
      </c>
    </row>
    <row r="3978" spans="1:12" ht="43.5" x14ac:dyDescent="0.35">
      <c r="A3978" s="6" t="s">
        <v>1619</v>
      </c>
      <c r="B3978" s="6" t="s">
        <v>1620</v>
      </c>
      <c r="C3978" s="6" t="s">
        <v>1621</v>
      </c>
      <c r="D3978" s="11" t="s">
        <v>219</v>
      </c>
      <c r="E3978" s="17" t="s">
        <v>77</v>
      </c>
      <c r="F3978" s="17" t="s">
        <v>88</v>
      </c>
      <c r="G3978" s="11" t="s">
        <v>698</v>
      </c>
      <c r="H3978" s="11" t="s">
        <v>1622</v>
      </c>
      <c r="I3978" s="17" t="s">
        <v>296</v>
      </c>
      <c r="J3978" s="17">
        <v>16.88731069</v>
      </c>
      <c r="K3978" s="17">
        <v>-94.707184369999993</v>
      </c>
      <c r="L3978" s="17" t="str">
        <f>HYPERLINK("https://maps.google.com/?q=16.88731069,-94.70718437", "🔗 Ver Mapa")</f>
        <v>🔗 Ver Mapa</v>
      </c>
    </row>
    <row r="3979" spans="1:12" ht="43.5" x14ac:dyDescent="0.35">
      <c r="A3979" s="5" t="s">
        <v>1619</v>
      </c>
      <c r="B3979" s="5" t="s">
        <v>1620</v>
      </c>
      <c r="C3979" s="5" t="s">
        <v>1621</v>
      </c>
      <c r="D3979" s="8" t="s">
        <v>219</v>
      </c>
      <c r="E3979" s="16" t="s">
        <v>77</v>
      </c>
      <c r="F3979" s="16" t="s">
        <v>88</v>
      </c>
      <c r="G3979" s="8" t="s">
        <v>698</v>
      </c>
      <c r="H3979" s="8" t="s">
        <v>1622</v>
      </c>
      <c r="I3979" s="16" t="s">
        <v>296</v>
      </c>
      <c r="J3979" s="16">
        <v>16.88817959</v>
      </c>
      <c r="K3979" s="16">
        <v>-94.707013860000004</v>
      </c>
      <c r="L3979" s="16" t="str">
        <f>HYPERLINK("https://maps.google.com/?q=16.88817959,-94.70701386", "🔗 Ver Mapa")</f>
        <v>🔗 Ver Mapa</v>
      </c>
    </row>
    <row r="3980" spans="1:12" ht="43.5" x14ac:dyDescent="0.35">
      <c r="A3980" s="6" t="s">
        <v>1619</v>
      </c>
      <c r="B3980" s="6" t="s">
        <v>1620</v>
      </c>
      <c r="C3980" s="6" t="s">
        <v>1621</v>
      </c>
      <c r="D3980" s="11" t="s">
        <v>219</v>
      </c>
      <c r="E3980" s="17" t="s">
        <v>77</v>
      </c>
      <c r="F3980" s="17" t="s">
        <v>88</v>
      </c>
      <c r="G3980" s="11" t="s">
        <v>698</v>
      </c>
      <c r="H3980" s="11" t="s">
        <v>1622</v>
      </c>
      <c r="I3980" s="17" t="s">
        <v>296</v>
      </c>
      <c r="J3980" s="17">
        <v>16.888632080000001</v>
      </c>
      <c r="K3980" s="17">
        <v>-94.706933460000002</v>
      </c>
      <c r="L3980" s="17" t="str">
        <f>HYPERLINK("https://maps.google.com/?q=16.88863208,-94.70693346", "🔗 Ver Mapa")</f>
        <v>🔗 Ver Mapa</v>
      </c>
    </row>
    <row r="3981" spans="1:12" ht="43.5" x14ac:dyDescent="0.35">
      <c r="A3981" s="5" t="s">
        <v>1619</v>
      </c>
      <c r="B3981" s="5" t="s">
        <v>1620</v>
      </c>
      <c r="C3981" s="5" t="s">
        <v>1621</v>
      </c>
      <c r="D3981" s="8" t="s">
        <v>219</v>
      </c>
      <c r="E3981" s="16" t="s">
        <v>77</v>
      </c>
      <c r="F3981" s="16" t="s">
        <v>88</v>
      </c>
      <c r="G3981" s="8" t="s">
        <v>698</v>
      </c>
      <c r="H3981" s="8" t="s">
        <v>1622</v>
      </c>
      <c r="I3981" s="16" t="s">
        <v>296</v>
      </c>
      <c r="J3981" s="16">
        <v>16.88909383</v>
      </c>
      <c r="K3981" s="16">
        <v>-94.706824979999993</v>
      </c>
      <c r="L3981" s="16" t="str">
        <f>HYPERLINK("https://maps.google.com/?q=16.88909383,-94.70682498", "🔗 Ver Mapa")</f>
        <v>🔗 Ver Mapa</v>
      </c>
    </row>
    <row r="3982" spans="1:12" ht="43.5" x14ac:dyDescent="0.35">
      <c r="A3982" s="6" t="s">
        <v>1619</v>
      </c>
      <c r="B3982" s="6" t="s">
        <v>1620</v>
      </c>
      <c r="C3982" s="6" t="s">
        <v>1621</v>
      </c>
      <c r="D3982" s="11" t="s">
        <v>219</v>
      </c>
      <c r="E3982" s="17" t="s">
        <v>77</v>
      </c>
      <c r="F3982" s="17" t="s">
        <v>88</v>
      </c>
      <c r="G3982" s="11" t="s">
        <v>698</v>
      </c>
      <c r="H3982" s="11" t="s">
        <v>1622</v>
      </c>
      <c r="I3982" s="17" t="s">
        <v>296</v>
      </c>
      <c r="J3982" s="17">
        <v>16.88952038</v>
      </c>
      <c r="K3982" s="17">
        <v>-94.706603560000005</v>
      </c>
      <c r="L3982" s="17" t="str">
        <f>HYPERLINK("https://maps.google.com/?q=16.88952038,-94.70660356", "🔗 Ver Mapa")</f>
        <v>🔗 Ver Mapa</v>
      </c>
    </row>
    <row r="3983" spans="1:12" ht="43.5" x14ac:dyDescent="0.35">
      <c r="A3983" s="5" t="s">
        <v>1619</v>
      </c>
      <c r="B3983" s="5" t="s">
        <v>1620</v>
      </c>
      <c r="C3983" s="5" t="s">
        <v>1621</v>
      </c>
      <c r="D3983" s="8" t="s">
        <v>219</v>
      </c>
      <c r="E3983" s="16" t="s">
        <v>77</v>
      </c>
      <c r="F3983" s="16" t="s">
        <v>88</v>
      </c>
      <c r="G3983" s="8" t="s">
        <v>698</v>
      </c>
      <c r="H3983" s="8" t="s">
        <v>1622</v>
      </c>
      <c r="I3983" s="16" t="s">
        <v>296</v>
      </c>
      <c r="J3983" s="16">
        <v>16.889886109999999</v>
      </c>
      <c r="K3983" s="16">
        <v>-94.706090630000006</v>
      </c>
      <c r="L3983" s="16" t="str">
        <f>HYPERLINK("https://maps.google.com/?q=16.88988611,-94.70609063", "🔗 Ver Mapa")</f>
        <v>🔗 Ver Mapa</v>
      </c>
    </row>
    <row r="3984" spans="1:12" ht="43.5" x14ac:dyDescent="0.35">
      <c r="A3984" s="6" t="s">
        <v>1619</v>
      </c>
      <c r="B3984" s="6" t="s">
        <v>1620</v>
      </c>
      <c r="C3984" s="6" t="s">
        <v>1621</v>
      </c>
      <c r="D3984" s="11" t="s">
        <v>219</v>
      </c>
      <c r="E3984" s="17" t="s">
        <v>77</v>
      </c>
      <c r="F3984" s="17" t="s">
        <v>88</v>
      </c>
      <c r="G3984" s="11" t="s">
        <v>698</v>
      </c>
      <c r="H3984" s="11" t="s">
        <v>1622</v>
      </c>
      <c r="I3984" s="17" t="s">
        <v>296</v>
      </c>
      <c r="J3984" s="17">
        <v>16.89003623</v>
      </c>
      <c r="K3984" s="17">
        <v>-94.705425599999998</v>
      </c>
      <c r="L3984" s="17" t="str">
        <f>HYPERLINK("https://maps.google.com/?q=16.89003623,-94.7054256", "🔗 Ver Mapa")</f>
        <v>🔗 Ver Mapa</v>
      </c>
    </row>
    <row r="3985" spans="1:12" ht="43.5" x14ac:dyDescent="0.35">
      <c r="A3985" s="5" t="s">
        <v>1619</v>
      </c>
      <c r="B3985" s="5" t="s">
        <v>1620</v>
      </c>
      <c r="C3985" s="5" t="s">
        <v>1621</v>
      </c>
      <c r="D3985" s="8" t="s">
        <v>219</v>
      </c>
      <c r="E3985" s="16" t="s">
        <v>77</v>
      </c>
      <c r="F3985" s="16" t="s">
        <v>88</v>
      </c>
      <c r="G3985" s="8" t="s">
        <v>698</v>
      </c>
      <c r="H3985" s="8" t="s">
        <v>1622</v>
      </c>
      <c r="I3985" s="16" t="s">
        <v>296</v>
      </c>
      <c r="J3985" s="16">
        <v>16.890158230000001</v>
      </c>
      <c r="K3985" s="16">
        <v>-94.704882319999996</v>
      </c>
      <c r="L3985" s="16" t="str">
        <f>HYPERLINK("https://maps.google.com/?q=16.89015823,-94.70488232", "🔗 Ver Mapa")</f>
        <v>🔗 Ver Mapa</v>
      </c>
    </row>
    <row r="3986" spans="1:12" ht="43.5" x14ac:dyDescent="0.35">
      <c r="A3986" s="6" t="s">
        <v>1619</v>
      </c>
      <c r="B3986" s="6" t="s">
        <v>1620</v>
      </c>
      <c r="C3986" s="6" t="s">
        <v>1621</v>
      </c>
      <c r="D3986" s="11" t="s">
        <v>219</v>
      </c>
      <c r="E3986" s="17" t="s">
        <v>77</v>
      </c>
      <c r="F3986" s="17" t="s">
        <v>88</v>
      </c>
      <c r="G3986" s="11" t="s">
        <v>698</v>
      </c>
      <c r="H3986" s="11" t="s">
        <v>1622</v>
      </c>
      <c r="I3986" s="17" t="s">
        <v>296</v>
      </c>
      <c r="J3986" s="17">
        <v>16.89041568</v>
      </c>
      <c r="K3986" s="17">
        <v>-94.704349640000004</v>
      </c>
      <c r="L3986" s="17" t="str">
        <f>HYPERLINK("https://maps.google.com/?q=16.89041568,-94.70434964", "🔗 Ver Mapa")</f>
        <v>🔗 Ver Mapa</v>
      </c>
    </row>
    <row r="3987" spans="1:12" ht="43.5" x14ac:dyDescent="0.35">
      <c r="A3987" s="5" t="s">
        <v>1619</v>
      </c>
      <c r="B3987" s="5" t="s">
        <v>1620</v>
      </c>
      <c r="C3987" s="5" t="s">
        <v>1621</v>
      </c>
      <c r="D3987" s="8" t="s">
        <v>219</v>
      </c>
      <c r="E3987" s="16" t="s">
        <v>77</v>
      </c>
      <c r="F3987" s="16" t="s">
        <v>88</v>
      </c>
      <c r="G3987" s="8" t="s">
        <v>698</v>
      </c>
      <c r="H3987" s="8" t="s">
        <v>1622</v>
      </c>
      <c r="I3987" s="16" t="s">
        <v>296</v>
      </c>
      <c r="J3987" s="16">
        <v>16.890789099999999</v>
      </c>
      <c r="K3987" s="16">
        <v>-94.703996340000003</v>
      </c>
      <c r="L3987" s="16" t="str">
        <f>HYPERLINK("https://maps.google.com/?q=16.8907891,-94.70399634", "🔗 Ver Mapa")</f>
        <v>🔗 Ver Mapa</v>
      </c>
    </row>
    <row r="3988" spans="1:12" ht="43.5" x14ac:dyDescent="0.35">
      <c r="A3988" s="6" t="s">
        <v>1619</v>
      </c>
      <c r="B3988" s="6" t="s">
        <v>1620</v>
      </c>
      <c r="C3988" s="6" t="s">
        <v>1621</v>
      </c>
      <c r="D3988" s="11" t="s">
        <v>219</v>
      </c>
      <c r="E3988" s="17" t="s">
        <v>77</v>
      </c>
      <c r="F3988" s="17" t="s">
        <v>88</v>
      </c>
      <c r="G3988" s="11" t="s">
        <v>698</v>
      </c>
      <c r="H3988" s="11" t="s">
        <v>1622</v>
      </c>
      <c r="I3988" s="17" t="s">
        <v>296</v>
      </c>
      <c r="J3988" s="17">
        <v>16.89089388</v>
      </c>
      <c r="K3988" s="17">
        <v>-94.703349660000001</v>
      </c>
      <c r="L3988" s="17" t="str">
        <f>HYPERLINK("https://maps.google.com/?q=16.89089388,-94.70334966", "🔗 Ver Mapa")</f>
        <v>🔗 Ver Mapa</v>
      </c>
    </row>
    <row r="3989" spans="1:12" ht="43.5" x14ac:dyDescent="0.35">
      <c r="A3989" s="5" t="s">
        <v>1619</v>
      </c>
      <c r="B3989" s="5" t="s">
        <v>1620</v>
      </c>
      <c r="C3989" s="5" t="s">
        <v>1621</v>
      </c>
      <c r="D3989" s="8" t="s">
        <v>219</v>
      </c>
      <c r="E3989" s="16" t="s">
        <v>77</v>
      </c>
      <c r="F3989" s="16" t="s">
        <v>88</v>
      </c>
      <c r="G3989" s="8" t="s">
        <v>698</v>
      </c>
      <c r="H3989" s="8" t="s">
        <v>1622</v>
      </c>
      <c r="I3989" s="16" t="s">
        <v>296</v>
      </c>
      <c r="J3989" s="16">
        <v>16.891458539999999</v>
      </c>
      <c r="K3989" s="16">
        <v>-94.702819730000002</v>
      </c>
      <c r="L3989" s="16" t="str">
        <f>HYPERLINK("https://maps.google.com/?q=16.89145854,-94.70281973", "🔗 Ver Mapa")</f>
        <v>🔗 Ver Mapa</v>
      </c>
    </row>
    <row r="3990" spans="1:12" ht="43.5" x14ac:dyDescent="0.35">
      <c r="A3990" s="6" t="s">
        <v>1619</v>
      </c>
      <c r="B3990" s="6" t="s">
        <v>1620</v>
      </c>
      <c r="C3990" s="6" t="s">
        <v>1621</v>
      </c>
      <c r="D3990" s="11" t="s">
        <v>219</v>
      </c>
      <c r="E3990" s="17" t="s">
        <v>77</v>
      </c>
      <c r="F3990" s="17" t="s">
        <v>88</v>
      </c>
      <c r="G3990" s="11" t="s">
        <v>698</v>
      </c>
      <c r="H3990" s="11" t="s">
        <v>1622</v>
      </c>
      <c r="I3990" s="17" t="s">
        <v>296</v>
      </c>
      <c r="J3990" s="17">
        <v>16.891933000000002</v>
      </c>
      <c r="K3990" s="17">
        <v>-94.702270229999996</v>
      </c>
      <c r="L3990" s="17" t="str">
        <f>HYPERLINK("https://maps.google.com/?q=16.891933,-94.70227023", "🔗 Ver Mapa")</f>
        <v>🔗 Ver Mapa</v>
      </c>
    </row>
    <row r="3991" spans="1:12" ht="43.5" x14ac:dyDescent="0.35">
      <c r="A3991" s="5" t="s">
        <v>1619</v>
      </c>
      <c r="B3991" s="5" t="s">
        <v>1620</v>
      </c>
      <c r="C3991" s="5" t="s">
        <v>1621</v>
      </c>
      <c r="D3991" s="8" t="s">
        <v>219</v>
      </c>
      <c r="E3991" s="16" t="s">
        <v>77</v>
      </c>
      <c r="F3991" s="16" t="s">
        <v>88</v>
      </c>
      <c r="G3991" s="8" t="s">
        <v>698</v>
      </c>
      <c r="H3991" s="8" t="s">
        <v>1622</v>
      </c>
      <c r="I3991" s="16" t="s">
        <v>296</v>
      </c>
      <c r="J3991" s="16">
        <v>16.891966350000001</v>
      </c>
      <c r="K3991" s="16">
        <v>-94.701519660000002</v>
      </c>
      <c r="L3991" s="16" t="str">
        <f>HYPERLINK("https://maps.google.com/?q=16.89196635,-94.70151966", "🔗 Ver Mapa")</f>
        <v>🔗 Ver Mapa</v>
      </c>
    </row>
    <row r="3992" spans="1:12" ht="43.5" x14ac:dyDescent="0.35">
      <c r="A3992" s="6" t="s">
        <v>1619</v>
      </c>
      <c r="B3992" s="6" t="s">
        <v>1620</v>
      </c>
      <c r="C3992" s="6" t="s">
        <v>1621</v>
      </c>
      <c r="D3992" s="11" t="s">
        <v>219</v>
      </c>
      <c r="E3992" s="17" t="s">
        <v>77</v>
      </c>
      <c r="F3992" s="17" t="s">
        <v>88</v>
      </c>
      <c r="G3992" s="11" t="s">
        <v>698</v>
      </c>
      <c r="H3992" s="11" t="s">
        <v>1622</v>
      </c>
      <c r="I3992" s="17" t="s">
        <v>296</v>
      </c>
      <c r="J3992" s="17">
        <v>16.892296470000002</v>
      </c>
      <c r="K3992" s="17">
        <v>-94.700940689999996</v>
      </c>
      <c r="L3992" s="17" t="str">
        <f>HYPERLINK("https://maps.google.com/?q=16.89229647,-94.70094069", "🔗 Ver Mapa")</f>
        <v>🔗 Ver Mapa</v>
      </c>
    </row>
    <row r="3993" spans="1:12" ht="43.5" x14ac:dyDescent="0.35">
      <c r="A3993" s="5" t="s">
        <v>1619</v>
      </c>
      <c r="B3993" s="5" t="s">
        <v>1620</v>
      </c>
      <c r="C3993" s="5" t="s">
        <v>1621</v>
      </c>
      <c r="D3993" s="8" t="s">
        <v>219</v>
      </c>
      <c r="E3993" s="16" t="s">
        <v>77</v>
      </c>
      <c r="F3993" s="16" t="s">
        <v>88</v>
      </c>
      <c r="G3993" s="8" t="s">
        <v>698</v>
      </c>
      <c r="H3993" s="8" t="s">
        <v>1622</v>
      </c>
      <c r="I3993" s="16" t="s">
        <v>296</v>
      </c>
      <c r="J3993" s="16">
        <v>16.893005689999999</v>
      </c>
      <c r="K3993" s="16">
        <v>-94.700412049999997</v>
      </c>
      <c r="L3993" s="16" t="str">
        <f>HYPERLINK("https://maps.google.com/?q=16.89300569,-94.70041205", "🔗 Ver Mapa")</f>
        <v>🔗 Ver Mapa</v>
      </c>
    </row>
    <row r="3994" spans="1:12" ht="43.5" x14ac:dyDescent="0.35">
      <c r="A3994" s="6" t="s">
        <v>1619</v>
      </c>
      <c r="B3994" s="6" t="s">
        <v>1620</v>
      </c>
      <c r="C3994" s="6" t="s">
        <v>1621</v>
      </c>
      <c r="D3994" s="11" t="s">
        <v>219</v>
      </c>
      <c r="E3994" s="17" t="s">
        <v>77</v>
      </c>
      <c r="F3994" s="17" t="s">
        <v>88</v>
      </c>
      <c r="G3994" s="11" t="s">
        <v>698</v>
      </c>
      <c r="H3994" s="11" t="s">
        <v>1622</v>
      </c>
      <c r="I3994" s="17" t="s">
        <v>296</v>
      </c>
      <c r="J3994" s="17">
        <v>16.893767409999999</v>
      </c>
      <c r="K3994" s="17">
        <v>-94.700090369999998</v>
      </c>
      <c r="L3994" s="17" t="str">
        <f>HYPERLINK("https://maps.google.com/?q=16.89376741,-94.70009037", "🔗 Ver Mapa")</f>
        <v>🔗 Ver Mapa</v>
      </c>
    </row>
    <row r="3995" spans="1:12" ht="43.5" x14ac:dyDescent="0.35">
      <c r="A3995" s="5" t="s">
        <v>1619</v>
      </c>
      <c r="B3995" s="5" t="s">
        <v>1620</v>
      </c>
      <c r="C3995" s="5" t="s">
        <v>1621</v>
      </c>
      <c r="D3995" s="8" t="s">
        <v>219</v>
      </c>
      <c r="E3995" s="16" t="s">
        <v>77</v>
      </c>
      <c r="F3995" s="16" t="s">
        <v>88</v>
      </c>
      <c r="G3995" s="8" t="s">
        <v>698</v>
      </c>
      <c r="H3995" s="8" t="s">
        <v>1622</v>
      </c>
      <c r="I3995" s="16" t="s">
        <v>296</v>
      </c>
      <c r="J3995" s="16">
        <v>16.89455826</v>
      </c>
      <c r="K3995" s="16">
        <v>-94.699524909999994</v>
      </c>
      <c r="L3995" s="16" t="str">
        <f>HYPERLINK("https://maps.google.com/?q=16.89455826,-94.69952491", "🔗 Ver Mapa")</f>
        <v>🔗 Ver Mapa</v>
      </c>
    </row>
    <row r="3996" spans="1:12" ht="43.5" x14ac:dyDescent="0.35">
      <c r="A3996" s="6" t="s">
        <v>1619</v>
      </c>
      <c r="B3996" s="6" t="s">
        <v>1620</v>
      </c>
      <c r="C3996" s="6" t="s">
        <v>1621</v>
      </c>
      <c r="D3996" s="11" t="s">
        <v>219</v>
      </c>
      <c r="E3996" s="17" t="s">
        <v>77</v>
      </c>
      <c r="F3996" s="17" t="s">
        <v>88</v>
      </c>
      <c r="G3996" s="11" t="s">
        <v>698</v>
      </c>
      <c r="H3996" s="11" t="s">
        <v>1622</v>
      </c>
      <c r="I3996" s="17" t="s">
        <v>296</v>
      </c>
      <c r="J3996" s="17">
        <v>16.89521234</v>
      </c>
      <c r="K3996" s="17">
        <v>-94.6991084</v>
      </c>
      <c r="L3996" s="17" t="str">
        <f>HYPERLINK("https://maps.google.com/?q=16.89521234,-94.6991084", "🔗 Ver Mapa")</f>
        <v>🔗 Ver Mapa</v>
      </c>
    </row>
    <row r="3997" spans="1:12" ht="43.5" x14ac:dyDescent="0.35">
      <c r="A3997" s="5" t="s">
        <v>1619</v>
      </c>
      <c r="B3997" s="5" t="s">
        <v>1620</v>
      </c>
      <c r="C3997" s="5" t="s">
        <v>1621</v>
      </c>
      <c r="D3997" s="8" t="s">
        <v>219</v>
      </c>
      <c r="E3997" s="16" t="s">
        <v>77</v>
      </c>
      <c r="F3997" s="16" t="s">
        <v>88</v>
      </c>
      <c r="G3997" s="8" t="s">
        <v>698</v>
      </c>
      <c r="H3997" s="8" t="s">
        <v>1622</v>
      </c>
      <c r="I3997" s="16" t="s">
        <v>296</v>
      </c>
      <c r="J3997" s="16">
        <v>16.895541000000001</v>
      </c>
      <c r="K3997" s="16">
        <v>-94.698736999999994</v>
      </c>
      <c r="L3997" s="16" t="str">
        <f>HYPERLINK("https://maps.google.com/?q=16.895541,-94.698737", "🔗 Ver Mapa")</f>
        <v>🔗 Ver Mapa</v>
      </c>
    </row>
    <row r="3998" spans="1:12" ht="43.5" x14ac:dyDescent="0.35">
      <c r="A3998" s="6" t="s">
        <v>1619</v>
      </c>
      <c r="B3998" s="6" t="s">
        <v>1620</v>
      </c>
      <c r="C3998" s="6" t="s">
        <v>1621</v>
      </c>
      <c r="D3998" s="11" t="s">
        <v>219</v>
      </c>
      <c r="E3998" s="17" t="s">
        <v>77</v>
      </c>
      <c r="F3998" s="17" t="s">
        <v>88</v>
      </c>
      <c r="G3998" s="11" t="s">
        <v>698</v>
      </c>
      <c r="H3998" s="11" t="s">
        <v>1622</v>
      </c>
      <c r="I3998" s="17" t="s">
        <v>296</v>
      </c>
      <c r="J3998" s="17">
        <v>16.895681329999999</v>
      </c>
      <c r="K3998" s="17">
        <v>-94.698127060000004</v>
      </c>
      <c r="L3998" s="17" t="str">
        <f>HYPERLINK("https://maps.google.com/?q=16.89568133,-94.69812706", "🔗 Ver Mapa")</f>
        <v>🔗 Ver Mapa</v>
      </c>
    </row>
    <row r="3999" spans="1:12" ht="43.5" x14ac:dyDescent="0.35">
      <c r="A3999" s="5" t="s">
        <v>1619</v>
      </c>
      <c r="B3999" s="5" t="s">
        <v>1620</v>
      </c>
      <c r="C3999" s="5" t="s">
        <v>1621</v>
      </c>
      <c r="D3999" s="8" t="s">
        <v>219</v>
      </c>
      <c r="E3999" s="16" t="s">
        <v>77</v>
      </c>
      <c r="F3999" s="16" t="s">
        <v>88</v>
      </c>
      <c r="G3999" s="8" t="s">
        <v>698</v>
      </c>
      <c r="H3999" s="8" t="s">
        <v>1622</v>
      </c>
      <c r="I3999" s="16" t="s">
        <v>296</v>
      </c>
      <c r="J3999" s="16">
        <v>16.895749250000001</v>
      </c>
      <c r="K3999" s="16">
        <v>-94.697564510000007</v>
      </c>
      <c r="L3999" s="16" t="str">
        <f>HYPERLINK("https://maps.google.com/?q=16.89574925,-94.69756451", "🔗 Ver Mapa")</f>
        <v>🔗 Ver Mapa</v>
      </c>
    </row>
    <row r="4000" spans="1:12" ht="43.5" x14ac:dyDescent="0.35">
      <c r="A4000" s="6" t="s">
        <v>1619</v>
      </c>
      <c r="B4000" s="6" t="s">
        <v>1620</v>
      </c>
      <c r="C4000" s="6" t="s">
        <v>1621</v>
      </c>
      <c r="D4000" s="11" t="s">
        <v>219</v>
      </c>
      <c r="E4000" s="17" t="s">
        <v>77</v>
      </c>
      <c r="F4000" s="17" t="s">
        <v>88</v>
      </c>
      <c r="G4000" s="11" t="s">
        <v>698</v>
      </c>
      <c r="H4000" s="11" t="s">
        <v>1622</v>
      </c>
      <c r="I4000" s="17" t="s">
        <v>296</v>
      </c>
      <c r="J4000" s="17">
        <v>16.895720109999999</v>
      </c>
      <c r="K4000" s="17">
        <v>-94.6967195</v>
      </c>
      <c r="L4000" s="17" t="str">
        <f>HYPERLINK("https://maps.google.com/?q=16.89572011,-94.6967195", "🔗 Ver Mapa")</f>
        <v>🔗 Ver Mapa</v>
      </c>
    </row>
    <row r="4001" spans="1:12" ht="43.5" x14ac:dyDescent="0.35">
      <c r="A4001" s="5" t="s">
        <v>1619</v>
      </c>
      <c r="B4001" s="5" t="s">
        <v>1620</v>
      </c>
      <c r="C4001" s="5" t="s">
        <v>1621</v>
      </c>
      <c r="D4001" s="8" t="s">
        <v>219</v>
      </c>
      <c r="E4001" s="16" t="s">
        <v>77</v>
      </c>
      <c r="F4001" s="16" t="s">
        <v>88</v>
      </c>
      <c r="G4001" s="8" t="s">
        <v>698</v>
      </c>
      <c r="H4001" s="8" t="s">
        <v>1622</v>
      </c>
      <c r="I4001" s="16" t="s">
        <v>296</v>
      </c>
      <c r="J4001" s="16">
        <v>16.89630228</v>
      </c>
      <c r="K4001" s="16">
        <v>-94.696255399999998</v>
      </c>
      <c r="L4001" s="16" t="str">
        <f>HYPERLINK("https://maps.google.com/?q=16.89630228,-94.6962554", "🔗 Ver Mapa")</f>
        <v>🔗 Ver Mapa</v>
      </c>
    </row>
    <row r="4002" spans="1:12" ht="43.5" x14ac:dyDescent="0.35">
      <c r="A4002" s="6" t="s">
        <v>1619</v>
      </c>
      <c r="B4002" s="6" t="s">
        <v>1620</v>
      </c>
      <c r="C4002" s="6" t="s">
        <v>1621</v>
      </c>
      <c r="D4002" s="11" t="s">
        <v>219</v>
      </c>
      <c r="E4002" s="17" t="s">
        <v>77</v>
      </c>
      <c r="F4002" s="17" t="s">
        <v>88</v>
      </c>
      <c r="G4002" s="11" t="s">
        <v>698</v>
      </c>
      <c r="H4002" s="11" t="s">
        <v>1622</v>
      </c>
      <c r="I4002" s="17" t="s">
        <v>296</v>
      </c>
      <c r="J4002" s="17">
        <v>16.897101230000001</v>
      </c>
      <c r="K4002" s="17">
        <v>-94.695802630000003</v>
      </c>
      <c r="L4002" s="17" t="str">
        <f>HYPERLINK("https://maps.google.com/?q=16.89710123,-94.69580263", "🔗 Ver Mapa")</f>
        <v>🔗 Ver Mapa</v>
      </c>
    </row>
    <row r="4003" spans="1:12" ht="43.5" x14ac:dyDescent="0.35">
      <c r="A4003" s="5" t="s">
        <v>1619</v>
      </c>
      <c r="B4003" s="5" t="s">
        <v>1620</v>
      </c>
      <c r="C4003" s="5" t="s">
        <v>1621</v>
      </c>
      <c r="D4003" s="8" t="s">
        <v>219</v>
      </c>
      <c r="E4003" s="16" t="s">
        <v>77</v>
      </c>
      <c r="F4003" s="16" t="s">
        <v>88</v>
      </c>
      <c r="G4003" s="8" t="s">
        <v>698</v>
      </c>
      <c r="H4003" s="8" t="s">
        <v>1622</v>
      </c>
      <c r="I4003" s="16" t="s">
        <v>296</v>
      </c>
      <c r="J4003" s="16">
        <v>16.89765233</v>
      </c>
      <c r="K4003" s="16">
        <v>-94.69581694</v>
      </c>
      <c r="L4003" s="16" t="str">
        <f>HYPERLINK("https://maps.google.com/?q=16.89765233,-94.69581694", "🔗 Ver Mapa")</f>
        <v>🔗 Ver Mapa</v>
      </c>
    </row>
    <row r="4004" spans="1:12" ht="43.5" x14ac:dyDescent="0.35">
      <c r="A4004" s="6" t="s">
        <v>1619</v>
      </c>
      <c r="B4004" s="6" t="s">
        <v>1620</v>
      </c>
      <c r="C4004" s="6" t="s">
        <v>1621</v>
      </c>
      <c r="D4004" s="11" t="s">
        <v>219</v>
      </c>
      <c r="E4004" s="17" t="s">
        <v>77</v>
      </c>
      <c r="F4004" s="17" t="s">
        <v>88</v>
      </c>
      <c r="G4004" s="11" t="s">
        <v>698</v>
      </c>
      <c r="H4004" s="11" t="s">
        <v>1622</v>
      </c>
      <c r="I4004" s="17" t="s">
        <v>296</v>
      </c>
      <c r="J4004" s="17">
        <v>16.898198359999999</v>
      </c>
      <c r="K4004" s="17">
        <v>-94.695352510000006</v>
      </c>
      <c r="L4004" s="17" t="str">
        <f>HYPERLINK("https://maps.google.com/?q=16.89819836,-94.69535251", "🔗 Ver Mapa")</f>
        <v>🔗 Ver Mapa</v>
      </c>
    </row>
    <row r="4005" spans="1:12" ht="43.5" x14ac:dyDescent="0.35">
      <c r="A4005" s="5" t="s">
        <v>1619</v>
      </c>
      <c r="B4005" s="5" t="s">
        <v>1620</v>
      </c>
      <c r="C4005" s="5" t="s">
        <v>1621</v>
      </c>
      <c r="D4005" s="8" t="s">
        <v>219</v>
      </c>
      <c r="E4005" s="16" t="s">
        <v>77</v>
      </c>
      <c r="F4005" s="16" t="s">
        <v>88</v>
      </c>
      <c r="G4005" s="8" t="s">
        <v>698</v>
      </c>
      <c r="H4005" s="8" t="s">
        <v>1622</v>
      </c>
      <c r="I4005" s="16" t="s">
        <v>296</v>
      </c>
      <c r="J4005" s="16">
        <v>16.898198359999999</v>
      </c>
      <c r="K4005" s="16">
        <v>-94.695352510000006</v>
      </c>
      <c r="L4005" s="16" t="str">
        <f>HYPERLINK("https://maps.google.com/?q=16.89819836,-94.69535251", "🔗 Ver Mapa")</f>
        <v>🔗 Ver Mapa</v>
      </c>
    </row>
    <row r="4006" spans="1:12" ht="43.5" x14ac:dyDescent="0.35">
      <c r="A4006" s="6" t="s">
        <v>1619</v>
      </c>
      <c r="B4006" s="6" t="s">
        <v>1620</v>
      </c>
      <c r="C4006" s="6" t="s">
        <v>1621</v>
      </c>
      <c r="D4006" s="11" t="s">
        <v>219</v>
      </c>
      <c r="E4006" s="17" t="s">
        <v>77</v>
      </c>
      <c r="F4006" s="17" t="s">
        <v>88</v>
      </c>
      <c r="G4006" s="11" t="s">
        <v>698</v>
      </c>
      <c r="H4006" s="11" t="s">
        <v>1622</v>
      </c>
      <c r="I4006" s="17" t="s">
        <v>296</v>
      </c>
      <c r="J4006" s="17">
        <v>16.898813319999999</v>
      </c>
      <c r="K4006" s="17">
        <v>-94.695292300000006</v>
      </c>
      <c r="L4006" s="17" t="str">
        <f>HYPERLINK("https://maps.google.com/?q=16.89881332,-94.6952923", "🔗 Ver Mapa")</f>
        <v>🔗 Ver Mapa</v>
      </c>
    </row>
    <row r="4007" spans="1:12" ht="43.5" x14ac:dyDescent="0.35">
      <c r="A4007" s="5" t="s">
        <v>1619</v>
      </c>
      <c r="B4007" s="5" t="s">
        <v>1620</v>
      </c>
      <c r="C4007" s="5" t="s">
        <v>1621</v>
      </c>
      <c r="D4007" s="8" t="s">
        <v>219</v>
      </c>
      <c r="E4007" s="16" t="s">
        <v>77</v>
      </c>
      <c r="F4007" s="16" t="s">
        <v>88</v>
      </c>
      <c r="G4007" s="8" t="s">
        <v>698</v>
      </c>
      <c r="H4007" s="8" t="s">
        <v>1622</v>
      </c>
      <c r="I4007" s="16" t="s">
        <v>296</v>
      </c>
      <c r="J4007" s="16">
        <v>16.898772130000001</v>
      </c>
      <c r="K4007" s="16">
        <v>-94.695902039999993</v>
      </c>
      <c r="L4007" s="16" t="str">
        <f>HYPERLINK("https://maps.google.com/?q=16.89877213,-94.69590204", "🔗 Ver Mapa")</f>
        <v>🔗 Ver Mapa</v>
      </c>
    </row>
    <row r="4008" spans="1:12" ht="43.5" x14ac:dyDescent="0.35">
      <c r="A4008" s="6" t="s">
        <v>1619</v>
      </c>
      <c r="B4008" s="6" t="s">
        <v>1620</v>
      </c>
      <c r="C4008" s="6" t="s">
        <v>1621</v>
      </c>
      <c r="D4008" s="11" t="s">
        <v>219</v>
      </c>
      <c r="E4008" s="17" t="s">
        <v>77</v>
      </c>
      <c r="F4008" s="17" t="s">
        <v>88</v>
      </c>
      <c r="G4008" s="11" t="s">
        <v>698</v>
      </c>
      <c r="H4008" s="11" t="s">
        <v>1622</v>
      </c>
      <c r="I4008" s="17" t="s">
        <v>296</v>
      </c>
      <c r="J4008" s="17">
        <v>16.898968350000001</v>
      </c>
      <c r="K4008" s="17">
        <v>-94.696213540000002</v>
      </c>
      <c r="L4008" s="17" t="str">
        <f>HYPERLINK("https://maps.google.com/?q=16.89896835,-94.69621354", "🔗 Ver Mapa")</f>
        <v>🔗 Ver Mapa</v>
      </c>
    </row>
    <row r="4009" spans="1:12" ht="43.5" x14ac:dyDescent="0.35">
      <c r="A4009" s="5" t="s">
        <v>1619</v>
      </c>
      <c r="B4009" s="5" t="s">
        <v>1620</v>
      </c>
      <c r="C4009" s="5" t="s">
        <v>1621</v>
      </c>
      <c r="D4009" s="8" t="s">
        <v>219</v>
      </c>
      <c r="E4009" s="16" t="s">
        <v>77</v>
      </c>
      <c r="F4009" s="16" t="s">
        <v>88</v>
      </c>
      <c r="G4009" s="8" t="s">
        <v>698</v>
      </c>
      <c r="H4009" s="8" t="s">
        <v>1622</v>
      </c>
      <c r="I4009" s="16" t="s">
        <v>296</v>
      </c>
      <c r="J4009" s="16">
        <v>16.899268230000001</v>
      </c>
      <c r="K4009" s="16">
        <v>-94.696009720000006</v>
      </c>
      <c r="L4009" s="16" t="str">
        <f>HYPERLINK("https://maps.google.com/?q=16.89926823,-94.69600972", "🔗 Ver Mapa")</f>
        <v>🔗 Ver Mapa</v>
      </c>
    </row>
    <row r="4010" spans="1:12" ht="43.5" x14ac:dyDescent="0.35">
      <c r="A4010" s="6" t="s">
        <v>1619</v>
      </c>
      <c r="B4010" s="6" t="s">
        <v>1620</v>
      </c>
      <c r="C4010" s="6" t="s">
        <v>1621</v>
      </c>
      <c r="D4010" s="11" t="s">
        <v>219</v>
      </c>
      <c r="E4010" s="17" t="s">
        <v>77</v>
      </c>
      <c r="F4010" s="17" t="s">
        <v>88</v>
      </c>
      <c r="G4010" s="11" t="s">
        <v>698</v>
      </c>
      <c r="H4010" s="11" t="s">
        <v>1622</v>
      </c>
      <c r="I4010" s="17" t="s">
        <v>296</v>
      </c>
      <c r="J4010" s="17">
        <v>16.899361540000001</v>
      </c>
      <c r="K4010" s="17">
        <v>-94.695653879999995</v>
      </c>
      <c r="L4010" s="17" t="str">
        <f>HYPERLINK("https://maps.google.com/?q=16.89936154,-94.69565388", "🔗 Ver Mapa")</f>
        <v>🔗 Ver Mapa</v>
      </c>
    </row>
    <row r="4011" spans="1:12" ht="43.5" x14ac:dyDescent="0.35">
      <c r="A4011" s="5" t="s">
        <v>1619</v>
      </c>
      <c r="B4011" s="5" t="s">
        <v>1620</v>
      </c>
      <c r="C4011" s="5" t="s">
        <v>1621</v>
      </c>
      <c r="D4011" s="8" t="s">
        <v>219</v>
      </c>
      <c r="E4011" s="16" t="s">
        <v>77</v>
      </c>
      <c r="F4011" s="16" t="s">
        <v>88</v>
      </c>
      <c r="G4011" s="8" t="s">
        <v>698</v>
      </c>
      <c r="H4011" s="8" t="s">
        <v>1622</v>
      </c>
      <c r="I4011" s="16" t="s">
        <v>296</v>
      </c>
      <c r="J4011" s="16">
        <v>16.89961095</v>
      </c>
      <c r="K4011" s="16">
        <v>-94.694999069999994</v>
      </c>
      <c r="L4011" s="16" t="str">
        <f>HYPERLINK("https://maps.google.com/?q=16.89961095,-94.69499907", "🔗 Ver Mapa")</f>
        <v>🔗 Ver Mapa</v>
      </c>
    </row>
    <row r="4012" spans="1:12" ht="43.5" x14ac:dyDescent="0.35">
      <c r="A4012" s="6" t="s">
        <v>1619</v>
      </c>
      <c r="B4012" s="6" t="s">
        <v>1620</v>
      </c>
      <c r="C4012" s="6" t="s">
        <v>1621</v>
      </c>
      <c r="D4012" s="11" t="s">
        <v>219</v>
      </c>
      <c r="E4012" s="17" t="s">
        <v>77</v>
      </c>
      <c r="F4012" s="17" t="s">
        <v>88</v>
      </c>
      <c r="G4012" s="11" t="s">
        <v>698</v>
      </c>
      <c r="H4012" s="11" t="s">
        <v>1622</v>
      </c>
      <c r="I4012" s="17" t="s">
        <v>296</v>
      </c>
      <c r="J4012" s="17">
        <v>16.900067400000001</v>
      </c>
      <c r="K4012" s="17">
        <v>-94.694439970000005</v>
      </c>
      <c r="L4012" s="17" t="str">
        <f>HYPERLINK("https://maps.google.com/?q=16.9000674,-94.69443997", "🔗 Ver Mapa")</f>
        <v>🔗 Ver Mapa</v>
      </c>
    </row>
    <row r="4013" spans="1:12" ht="43.5" x14ac:dyDescent="0.35">
      <c r="A4013" s="5" t="s">
        <v>1619</v>
      </c>
      <c r="B4013" s="5" t="s">
        <v>1620</v>
      </c>
      <c r="C4013" s="5" t="s">
        <v>1621</v>
      </c>
      <c r="D4013" s="8" t="s">
        <v>219</v>
      </c>
      <c r="E4013" s="16" t="s">
        <v>77</v>
      </c>
      <c r="F4013" s="16" t="s">
        <v>88</v>
      </c>
      <c r="G4013" s="8" t="s">
        <v>698</v>
      </c>
      <c r="H4013" s="8" t="s">
        <v>1622</v>
      </c>
      <c r="I4013" s="16" t="s">
        <v>296</v>
      </c>
      <c r="J4013" s="16">
        <v>16.900000160000001</v>
      </c>
      <c r="K4013" s="16">
        <v>-94.693829260000001</v>
      </c>
      <c r="L4013" s="16" t="str">
        <f>HYPERLINK("https://maps.google.com/?q=16.90000016,-94.69382926", "🔗 Ver Mapa")</f>
        <v>🔗 Ver Mapa</v>
      </c>
    </row>
    <row r="4014" spans="1:12" ht="43.5" x14ac:dyDescent="0.35">
      <c r="A4014" s="6" t="s">
        <v>1619</v>
      </c>
      <c r="B4014" s="6" t="s">
        <v>1620</v>
      </c>
      <c r="C4014" s="6" t="s">
        <v>1621</v>
      </c>
      <c r="D4014" s="11" t="s">
        <v>219</v>
      </c>
      <c r="E4014" s="17" t="s">
        <v>77</v>
      </c>
      <c r="F4014" s="17" t="s">
        <v>88</v>
      </c>
      <c r="G4014" s="11" t="s">
        <v>698</v>
      </c>
      <c r="H4014" s="11" t="s">
        <v>1622</v>
      </c>
      <c r="I4014" s="17" t="s">
        <v>296</v>
      </c>
      <c r="J4014" s="17">
        <v>16.899763419999999</v>
      </c>
      <c r="K4014" s="17">
        <v>-94.692954229999998</v>
      </c>
      <c r="L4014" s="17" t="str">
        <f>HYPERLINK("https://maps.google.com/?q=16.89976342,-94.69295423", "🔗 Ver Mapa")</f>
        <v>🔗 Ver Mapa</v>
      </c>
    </row>
    <row r="4015" spans="1:12" ht="43.5" x14ac:dyDescent="0.35">
      <c r="A4015" s="5" t="s">
        <v>1619</v>
      </c>
      <c r="B4015" s="5" t="s">
        <v>1620</v>
      </c>
      <c r="C4015" s="5" t="s">
        <v>1621</v>
      </c>
      <c r="D4015" s="8" t="s">
        <v>219</v>
      </c>
      <c r="E4015" s="16" t="s">
        <v>77</v>
      </c>
      <c r="F4015" s="16" t="s">
        <v>88</v>
      </c>
      <c r="G4015" s="8" t="s">
        <v>698</v>
      </c>
      <c r="H4015" s="8" t="s">
        <v>1622</v>
      </c>
      <c r="I4015" s="16" t="s">
        <v>296</v>
      </c>
      <c r="J4015" s="16">
        <v>16.899664380000001</v>
      </c>
      <c r="K4015" s="16">
        <v>-94.691817599999993</v>
      </c>
      <c r="L4015" s="16" t="str">
        <f>HYPERLINK("https://maps.google.com/?q=16.89966438,-94.6918176", "🔗 Ver Mapa")</f>
        <v>🔗 Ver Mapa</v>
      </c>
    </row>
    <row r="4016" spans="1:12" ht="43.5" x14ac:dyDescent="0.35">
      <c r="A4016" s="6" t="s">
        <v>1619</v>
      </c>
      <c r="B4016" s="6" t="s">
        <v>1620</v>
      </c>
      <c r="C4016" s="6" t="s">
        <v>1621</v>
      </c>
      <c r="D4016" s="11" t="s">
        <v>219</v>
      </c>
      <c r="E4016" s="17" t="s">
        <v>77</v>
      </c>
      <c r="F4016" s="17" t="s">
        <v>88</v>
      </c>
      <c r="G4016" s="11" t="s">
        <v>698</v>
      </c>
      <c r="H4016" s="11" t="s">
        <v>1622</v>
      </c>
      <c r="I4016" s="17" t="s">
        <v>296</v>
      </c>
      <c r="J4016" s="17">
        <v>16.90019586</v>
      </c>
      <c r="K4016" s="17">
        <v>-94.692019459999997</v>
      </c>
      <c r="L4016" s="17" t="str">
        <f>HYPERLINK("https://maps.google.com/?q=16.90019586,-94.69201946", "🔗 Ver Mapa")</f>
        <v>🔗 Ver Mapa</v>
      </c>
    </row>
    <row r="4017" spans="1:12" ht="43.5" x14ac:dyDescent="0.35">
      <c r="A4017" s="5" t="s">
        <v>1619</v>
      </c>
      <c r="B4017" s="5" t="s">
        <v>1620</v>
      </c>
      <c r="C4017" s="5" t="s">
        <v>1621</v>
      </c>
      <c r="D4017" s="8" t="s">
        <v>219</v>
      </c>
      <c r="E4017" s="16" t="s">
        <v>77</v>
      </c>
      <c r="F4017" s="16" t="s">
        <v>88</v>
      </c>
      <c r="G4017" s="8" t="s">
        <v>698</v>
      </c>
      <c r="H4017" s="8" t="s">
        <v>1622</v>
      </c>
      <c r="I4017" s="16" t="s">
        <v>296</v>
      </c>
      <c r="J4017" s="16">
        <v>16.900561969999998</v>
      </c>
      <c r="K4017" s="16">
        <v>-94.692548349999996</v>
      </c>
      <c r="L4017" s="16" t="str">
        <f>HYPERLINK("https://maps.google.com/?q=16.90056197,-94.69254835", "🔗 Ver Mapa")</f>
        <v>🔗 Ver Mapa</v>
      </c>
    </row>
    <row r="4018" spans="1:12" ht="43.5" x14ac:dyDescent="0.35">
      <c r="A4018" s="6" t="s">
        <v>1619</v>
      </c>
      <c r="B4018" s="6" t="s">
        <v>1620</v>
      </c>
      <c r="C4018" s="6" t="s">
        <v>1621</v>
      </c>
      <c r="D4018" s="11" t="s">
        <v>219</v>
      </c>
      <c r="E4018" s="17" t="s">
        <v>77</v>
      </c>
      <c r="F4018" s="17" t="s">
        <v>88</v>
      </c>
      <c r="G4018" s="11" t="s">
        <v>698</v>
      </c>
      <c r="H4018" s="11" t="s">
        <v>1622</v>
      </c>
      <c r="I4018" s="17" t="s">
        <v>296</v>
      </c>
      <c r="J4018" s="17">
        <v>16.90087364</v>
      </c>
      <c r="K4018" s="17">
        <v>-94.693104930000004</v>
      </c>
      <c r="L4018" s="17" t="str">
        <f>HYPERLINK("https://maps.google.com/?q=16.90087364,-94.69310493", "🔗 Ver Mapa")</f>
        <v>🔗 Ver Mapa</v>
      </c>
    </row>
    <row r="4019" spans="1:12" ht="43.5" x14ac:dyDescent="0.35">
      <c r="A4019" s="5" t="s">
        <v>1619</v>
      </c>
      <c r="B4019" s="5" t="s">
        <v>1620</v>
      </c>
      <c r="C4019" s="5" t="s">
        <v>1621</v>
      </c>
      <c r="D4019" s="8" t="s">
        <v>219</v>
      </c>
      <c r="E4019" s="16" t="s">
        <v>77</v>
      </c>
      <c r="F4019" s="16" t="s">
        <v>88</v>
      </c>
      <c r="G4019" s="8" t="s">
        <v>698</v>
      </c>
      <c r="H4019" s="8" t="s">
        <v>1622</v>
      </c>
      <c r="I4019" s="16" t="s">
        <v>296</v>
      </c>
      <c r="J4019" s="16">
        <v>16.900833980000002</v>
      </c>
      <c r="K4019" s="16">
        <v>-94.692438150000001</v>
      </c>
      <c r="L4019" s="16" t="str">
        <f>HYPERLINK("https://maps.google.com/?q=16.90083398,-94.69243815", "🔗 Ver Mapa")</f>
        <v>🔗 Ver Mapa</v>
      </c>
    </row>
    <row r="4020" spans="1:12" ht="43.5" x14ac:dyDescent="0.35">
      <c r="A4020" s="6" t="s">
        <v>1619</v>
      </c>
      <c r="B4020" s="6" t="s">
        <v>1620</v>
      </c>
      <c r="C4020" s="6" t="s">
        <v>1621</v>
      </c>
      <c r="D4020" s="11" t="s">
        <v>219</v>
      </c>
      <c r="E4020" s="17" t="s">
        <v>77</v>
      </c>
      <c r="F4020" s="17" t="s">
        <v>88</v>
      </c>
      <c r="G4020" s="11" t="s">
        <v>698</v>
      </c>
      <c r="H4020" s="11" t="s">
        <v>1622</v>
      </c>
      <c r="I4020" s="17" t="s">
        <v>296</v>
      </c>
      <c r="J4020" s="17">
        <v>16.900704340000001</v>
      </c>
      <c r="K4020" s="17">
        <v>-94.691723629999998</v>
      </c>
      <c r="L4020" s="17" t="str">
        <f>HYPERLINK("https://maps.google.com/?q=16.90070434,-94.69172363", "🔗 Ver Mapa")</f>
        <v>🔗 Ver Mapa</v>
      </c>
    </row>
    <row r="4021" spans="1:12" ht="43.5" x14ac:dyDescent="0.35">
      <c r="A4021" s="5" t="s">
        <v>1619</v>
      </c>
      <c r="B4021" s="5" t="s">
        <v>1620</v>
      </c>
      <c r="C4021" s="5" t="s">
        <v>1621</v>
      </c>
      <c r="D4021" s="8" t="s">
        <v>219</v>
      </c>
      <c r="E4021" s="16" t="s">
        <v>77</v>
      </c>
      <c r="F4021" s="16" t="s">
        <v>88</v>
      </c>
      <c r="G4021" s="8" t="s">
        <v>698</v>
      </c>
      <c r="H4021" s="8" t="s">
        <v>1622</v>
      </c>
      <c r="I4021" s="16" t="s">
        <v>296</v>
      </c>
      <c r="J4021" s="16">
        <v>16.900203770000001</v>
      </c>
      <c r="K4021" s="16">
        <v>-94.691062119999998</v>
      </c>
      <c r="L4021" s="16" t="str">
        <f>HYPERLINK("https://maps.google.com/?q=16.90020377,-94.69106212", "🔗 Ver Mapa")</f>
        <v>🔗 Ver Mapa</v>
      </c>
    </row>
    <row r="4022" spans="1:12" ht="43.5" x14ac:dyDescent="0.35">
      <c r="A4022" s="6" t="s">
        <v>1619</v>
      </c>
      <c r="B4022" s="6" t="s">
        <v>1620</v>
      </c>
      <c r="C4022" s="6" t="s">
        <v>1621</v>
      </c>
      <c r="D4022" s="11" t="s">
        <v>219</v>
      </c>
      <c r="E4022" s="17" t="s">
        <v>77</v>
      </c>
      <c r="F4022" s="17" t="s">
        <v>88</v>
      </c>
      <c r="G4022" s="11" t="s">
        <v>698</v>
      </c>
      <c r="H4022" s="11" t="s">
        <v>1622</v>
      </c>
      <c r="I4022" s="17" t="s">
        <v>296</v>
      </c>
      <c r="J4022" s="17">
        <v>16.900870390000001</v>
      </c>
      <c r="K4022" s="17">
        <v>-94.691312109999998</v>
      </c>
      <c r="L4022" s="17" t="str">
        <f>HYPERLINK("https://maps.google.com/?q=16.90087039,-94.69131211", "🔗 Ver Mapa")</f>
        <v>🔗 Ver Mapa</v>
      </c>
    </row>
    <row r="4023" spans="1:12" ht="43.5" x14ac:dyDescent="0.35">
      <c r="A4023" s="5" t="s">
        <v>1619</v>
      </c>
      <c r="B4023" s="5" t="s">
        <v>1620</v>
      </c>
      <c r="C4023" s="5" t="s">
        <v>1621</v>
      </c>
      <c r="D4023" s="8" t="s">
        <v>219</v>
      </c>
      <c r="E4023" s="16" t="s">
        <v>77</v>
      </c>
      <c r="F4023" s="16" t="s">
        <v>88</v>
      </c>
      <c r="G4023" s="8" t="s">
        <v>698</v>
      </c>
      <c r="H4023" s="8" t="s">
        <v>1622</v>
      </c>
      <c r="I4023" s="16" t="s">
        <v>296</v>
      </c>
      <c r="J4023" s="16">
        <v>16.901551439999999</v>
      </c>
      <c r="K4023" s="16">
        <v>-94.692003389999996</v>
      </c>
      <c r="L4023" s="16" t="str">
        <f>HYPERLINK("https://maps.google.com/?q=16.90155144,-94.69200339", "🔗 Ver Mapa")</f>
        <v>🔗 Ver Mapa</v>
      </c>
    </row>
    <row r="4024" spans="1:12" ht="43.5" x14ac:dyDescent="0.35">
      <c r="A4024" s="6" t="s">
        <v>1619</v>
      </c>
      <c r="B4024" s="6" t="s">
        <v>1620</v>
      </c>
      <c r="C4024" s="6" t="s">
        <v>1621</v>
      </c>
      <c r="D4024" s="11" t="s">
        <v>219</v>
      </c>
      <c r="E4024" s="17" t="s">
        <v>77</v>
      </c>
      <c r="F4024" s="17" t="s">
        <v>88</v>
      </c>
      <c r="G4024" s="11" t="s">
        <v>698</v>
      </c>
      <c r="H4024" s="11" t="s">
        <v>1622</v>
      </c>
      <c r="I4024" s="17" t="s">
        <v>296</v>
      </c>
      <c r="J4024" s="17">
        <v>16.901783000000002</v>
      </c>
      <c r="K4024" s="17">
        <v>-94.691320250000004</v>
      </c>
      <c r="L4024" s="17" t="str">
        <f>HYPERLINK("https://maps.google.com/?q=16.901783,-94.69132025", "🔗 Ver Mapa")</f>
        <v>🔗 Ver Mapa</v>
      </c>
    </row>
    <row r="4025" spans="1:12" ht="43.5" x14ac:dyDescent="0.35">
      <c r="A4025" s="5" t="s">
        <v>1619</v>
      </c>
      <c r="B4025" s="5" t="s">
        <v>1620</v>
      </c>
      <c r="C4025" s="5" t="s">
        <v>1621</v>
      </c>
      <c r="D4025" s="8" t="s">
        <v>219</v>
      </c>
      <c r="E4025" s="16" t="s">
        <v>77</v>
      </c>
      <c r="F4025" s="16" t="s">
        <v>88</v>
      </c>
      <c r="G4025" s="8" t="s">
        <v>698</v>
      </c>
      <c r="H4025" s="8" t="s">
        <v>1622</v>
      </c>
      <c r="I4025" s="16" t="s">
        <v>296</v>
      </c>
      <c r="J4025" s="16">
        <v>16.90201308</v>
      </c>
      <c r="K4025" s="16">
        <v>-94.690815439999994</v>
      </c>
      <c r="L4025" s="16" t="str">
        <f>HYPERLINK("https://maps.google.com/?q=16.90201308,-94.69081544", "🔗 Ver Mapa")</f>
        <v>🔗 Ver Mapa</v>
      </c>
    </row>
    <row r="4026" spans="1:12" ht="43.5" x14ac:dyDescent="0.35">
      <c r="A4026" s="6" t="s">
        <v>1619</v>
      </c>
      <c r="B4026" s="6" t="s">
        <v>1620</v>
      </c>
      <c r="C4026" s="6" t="s">
        <v>1621</v>
      </c>
      <c r="D4026" s="11" t="s">
        <v>219</v>
      </c>
      <c r="E4026" s="17" t="s">
        <v>77</v>
      </c>
      <c r="F4026" s="17" t="s">
        <v>88</v>
      </c>
      <c r="G4026" s="11" t="s">
        <v>698</v>
      </c>
      <c r="H4026" s="11" t="s">
        <v>1622</v>
      </c>
      <c r="I4026" s="17" t="s">
        <v>296</v>
      </c>
      <c r="J4026" s="17">
        <v>16.902388999999999</v>
      </c>
      <c r="K4026" s="17">
        <v>-94.691193999999996</v>
      </c>
      <c r="L4026" s="17" t="str">
        <f>HYPERLINK("https://maps.google.com/?q=16.902389,-94.691194", "🔗 Ver Mapa")</f>
        <v>🔗 Ver Mapa</v>
      </c>
    </row>
    <row r="4027" spans="1:12" ht="43.5" x14ac:dyDescent="0.35">
      <c r="A4027" s="5" t="s">
        <v>1619</v>
      </c>
      <c r="B4027" s="5" t="s">
        <v>1623</v>
      </c>
      <c r="C4027" s="5" t="s">
        <v>1624</v>
      </c>
      <c r="D4027" s="8" t="s">
        <v>67</v>
      </c>
      <c r="E4027" s="16" t="s">
        <v>78</v>
      </c>
      <c r="F4027" s="16" t="s">
        <v>182</v>
      </c>
      <c r="G4027" s="8" t="s">
        <v>1625</v>
      </c>
      <c r="H4027" s="8" t="s">
        <v>1626</v>
      </c>
      <c r="I4027" s="16" t="s">
        <v>138</v>
      </c>
      <c r="J4027" s="16">
        <v>17.417589</v>
      </c>
      <c r="K4027" s="16">
        <v>-96.248510999999993</v>
      </c>
      <c r="L4027" s="16" t="str">
        <f>HYPERLINK("https://maps.google.com/?q=17.417589,-96.248511", "🔗 Ver Mapa")</f>
        <v>🔗 Ver Mapa</v>
      </c>
    </row>
    <row r="4028" spans="1:12" ht="43.5" x14ac:dyDescent="0.35">
      <c r="A4028" s="6" t="s">
        <v>1619</v>
      </c>
      <c r="B4028" s="6" t="s">
        <v>1623</v>
      </c>
      <c r="C4028" s="6" t="s">
        <v>1624</v>
      </c>
      <c r="D4028" s="11" t="s">
        <v>67</v>
      </c>
      <c r="E4028" s="17" t="s">
        <v>78</v>
      </c>
      <c r="F4028" s="17" t="s">
        <v>182</v>
      </c>
      <c r="G4028" s="11" t="s">
        <v>1625</v>
      </c>
      <c r="H4028" s="11" t="s">
        <v>1626</v>
      </c>
      <c r="I4028" s="17" t="s">
        <v>138</v>
      </c>
      <c r="J4028" s="17">
        <v>17.417583</v>
      </c>
      <c r="K4028" s="17">
        <v>-96.248469</v>
      </c>
      <c r="L4028" s="17" t="str">
        <f>HYPERLINK("https://maps.google.com/?q=17.417583,-96.248469", "🔗 Ver Mapa")</f>
        <v>🔗 Ver Mapa</v>
      </c>
    </row>
    <row r="4029" spans="1:12" ht="43.5" x14ac:dyDescent="0.35">
      <c r="A4029" s="5" t="s">
        <v>1619</v>
      </c>
      <c r="B4029" s="5" t="s">
        <v>1623</v>
      </c>
      <c r="C4029" s="5" t="s">
        <v>1624</v>
      </c>
      <c r="D4029" s="8" t="s">
        <v>67</v>
      </c>
      <c r="E4029" s="16" t="s">
        <v>78</v>
      </c>
      <c r="F4029" s="16" t="s">
        <v>182</v>
      </c>
      <c r="G4029" s="8" t="s">
        <v>1625</v>
      </c>
      <c r="H4029" s="8" t="s">
        <v>1626</v>
      </c>
      <c r="I4029" s="16" t="s">
        <v>138</v>
      </c>
      <c r="J4029" s="16">
        <v>17.417574999999999</v>
      </c>
      <c r="K4029" s="16">
        <v>-96.248441999999997</v>
      </c>
      <c r="L4029" s="16" t="str">
        <f>HYPERLINK("https://maps.google.com/?q=17.417575,-96.248442", "🔗 Ver Mapa")</f>
        <v>🔗 Ver Mapa</v>
      </c>
    </row>
    <row r="4031" spans="1:12" ht="20.149999999999999" customHeight="1" x14ac:dyDescent="0.35"/>
    <row r="4032" spans="1:12" ht="20.149999999999999" customHeight="1" x14ac:dyDescent="0.35">
      <c r="A4032" s="19" t="s">
        <v>1627</v>
      </c>
      <c r="B4032" s="20"/>
      <c r="C4032" s="20"/>
      <c r="D4032" s="21"/>
      <c r="E4032" s="20"/>
      <c r="F4032" s="20"/>
      <c r="G4032" s="21"/>
      <c r="H4032" s="21"/>
      <c r="I4032" s="20"/>
      <c r="J4032" s="20"/>
      <c r="K4032" s="20"/>
    </row>
    <row r="4033" spans="1:12" ht="20.149999999999999" customHeight="1" x14ac:dyDescent="0.35">
      <c r="A4033" s="25" t="s">
        <v>1628</v>
      </c>
      <c r="B4033" s="20"/>
      <c r="C4033" s="20"/>
      <c r="D4033" s="21"/>
      <c r="E4033" s="20"/>
      <c r="F4033" s="20"/>
      <c r="G4033" s="21"/>
      <c r="H4033" s="21"/>
      <c r="I4033" s="20"/>
      <c r="J4033" s="20"/>
      <c r="K4033" s="20"/>
      <c r="L4033" s="20"/>
    </row>
    <row r="4034" spans="1:12" ht="20.149999999999999" customHeight="1" x14ac:dyDescent="0.35">
      <c r="A4034" s="25" t="s">
        <v>1629</v>
      </c>
      <c r="B4034" s="20"/>
      <c r="C4034" s="20"/>
      <c r="D4034" s="21"/>
      <c r="E4034" s="20"/>
      <c r="F4034" s="20"/>
      <c r="G4034" s="21"/>
      <c r="H4034" s="21"/>
      <c r="I4034" s="20"/>
      <c r="J4034" s="20"/>
      <c r="K4034" s="20"/>
      <c r="L4034" s="20"/>
    </row>
    <row r="4035" spans="1:12" ht="20.149999999999999" customHeight="1" x14ac:dyDescent="0.35">
      <c r="A4035" s="25" t="s">
        <v>1630</v>
      </c>
      <c r="B4035" s="20"/>
      <c r="C4035" s="20"/>
      <c r="D4035" s="21"/>
      <c r="E4035" s="20"/>
      <c r="F4035" s="20"/>
      <c r="G4035" s="21"/>
      <c r="H4035" s="21"/>
      <c r="I4035" s="20"/>
      <c r="J4035" s="20"/>
      <c r="K4035" s="20"/>
      <c r="L4035" s="20"/>
    </row>
    <row r="4036" spans="1:12" ht="20.149999999999999" customHeight="1" x14ac:dyDescent="0.35"/>
    <row r="4037" spans="1:12" ht="20.149999999999999" customHeight="1" x14ac:dyDescent="0.35">
      <c r="A4037" s="19" t="s">
        <v>1631</v>
      </c>
      <c r="B4037" s="20"/>
      <c r="C4037" s="20"/>
      <c r="D4037" s="21"/>
      <c r="E4037" s="20"/>
      <c r="F4037" s="20"/>
      <c r="G4037" s="21"/>
      <c r="H4037" s="21"/>
      <c r="I4037" s="20"/>
      <c r="J4037" s="20"/>
      <c r="K4037" s="20"/>
      <c r="L4037" s="20"/>
    </row>
    <row r="4038" spans="1:12" ht="20.149999999999999" customHeight="1" x14ac:dyDescent="0.35">
      <c r="A4038" s="22" t="s">
        <v>1632</v>
      </c>
      <c r="B4038" s="20"/>
      <c r="C4038" s="20"/>
      <c r="D4038" s="21"/>
      <c r="E4038" s="20"/>
      <c r="F4038" s="20"/>
      <c r="G4038" s="21"/>
      <c r="H4038" s="21"/>
      <c r="I4038" s="20"/>
      <c r="J4038" s="20"/>
      <c r="K4038" s="20"/>
      <c r="L4038" s="20"/>
    </row>
    <row r="4039" spans="1:12" ht="20.149999999999999" customHeight="1" x14ac:dyDescent="0.35"/>
    <row r="4040" spans="1:12" ht="20.149999999999999" customHeight="1" x14ac:dyDescent="0.35">
      <c r="A4040" s="19" t="s">
        <v>1633</v>
      </c>
      <c r="B4040" s="20"/>
      <c r="C4040" s="20"/>
      <c r="D4040" s="21"/>
      <c r="E4040" s="20"/>
      <c r="F4040" s="20"/>
      <c r="G4040" s="21"/>
      <c r="H4040" s="21"/>
      <c r="I4040" s="20"/>
      <c r="J4040" s="20"/>
      <c r="K4040" s="20"/>
      <c r="L4040" s="20"/>
    </row>
    <row r="4041" spans="1:12" ht="20.149999999999999" customHeight="1" x14ac:dyDescent="0.35">
      <c r="A4041" s="22" t="s">
        <v>1634</v>
      </c>
      <c r="B4041" s="20"/>
      <c r="C4041" s="20"/>
      <c r="D4041" s="21"/>
      <c r="E4041" s="20"/>
      <c r="F4041" s="20"/>
      <c r="G4041" s="21"/>
      <c r="H4041" s="21"/>
      <c r="I4041" s="20"/>
      <c r="J4041" s="20"/>
      <c r="K4041" s="20"/>
      <c r="L4041" s="20"/>
    </row>
  </sheetData>
  <mergeCells count="9">
    <mergeCell ref="A4037:L4037"/>
    <mergeCell ref="A4038:L4038"/>
    <mergeCell ref="A4040:L4040"/>
    <mergeCell ref="A4041:L4041"/>
    <mergeCell ref="A1:L1"/>
    <mergeCell ref="A4032:K4032"/>
    <mergeCell ref="A4033:L4033"/>
    <mergeCell ref="A4034:L4034"/>
    <mergeCell ref="A4035:L4035"/>
  </mergeCells>
  <hyperlinks>
    <hyperlink ref="L3" r:id="rId1" tooltip="🔗 Ver Mapa" display="🔗 Ver Mapa" xr:uid="{00000000-0004-0000-0000-000000000000}"/>
    <hyperlink ref="L4" r:id="rId2" tooltip="🔗 Ver Mapa" display="🔗 Ver Mapa" xr:uid="{00000000-0004-0000-0000-000001000000}"/>
    <hyperlink ref="L5" r:id="rId3" tooltip="🔗 Ver Mapa" display="🔗 Ver Mapa" xr:uid="{00000000-0004-0000-0000-000002000000}"/>
    <hyperlink ref="L6" r:id="rId4" tooltip="🔗 Ver Mapa" display="🔗 Ver Mapa" xr:uid="{00000000-0004-0000-0000-000003000000}"/>
    <hyperlink ref="L7" r:id="rId5" tooltip="🔗 Ver Mapa" display="🔗 Ver Mapa" xr:uid="{00000000-0004-0000-0000-000004000000}"/>
    <hyperlink ref="L8" r:id="rId6" tooltip="🔗 Ver Mapa" display="🔗 Ver Mapa" xr:uid="{00000000-0004-0000-0000-000005000000}"/>
    <hyperlink ref="L9" r:id="rId7" tooltip="🔗 Ver Mapa" display="🔗 Ver Mapa" xr:uid="{00000000-0004-0000-0000-000006000000}"/>
    <hyperlink ref="L10" r:id="rId8" tooltip="🔗 Ver Mapa" display="🔗 Ver Mapa" xr:uid="{00000000-0004-0000-0000-000007000000}"/>
    <hyperlink ref="L11" r:id="rId9" tooltip="🔗 Ver Mapa" display="🔗 Ver Mapa" xr:uid="{00000000-0004-0000-0000-000008000000}"/>
    <hyperlink ref="L12" r:id="rId10" tooltip="🔗 Ver Mapa" display="🔗 Ver Mapa" xr:uid="{00000000-0004-0000-0000-000009000000}"/>
    <hyperlink ref="L13" r:id="rId11" tooltip="🔗 Ver Mapa" display="🔗 Ver Mapa" xr:uid="{00000000-0004-0000-0000-00000A000000}"/>
    <hyperlink ref="L14" r:id="rId12" tooltip="🔗 Ver Mapa" display="🔗 Ver Mapa" xr:uid="{00000000-0004-0000-0000-00000B000000}"/>
    <hyperlink ref="L15" r:id="rId13" tooltip="🔗 Ver Mapa" display="🔗 Ver Mapa" xr:uid="{00000000-0004-0000-0000-00000C000000}"/>
    <hyperlink ref="L16" r:id="rId14" tooltip="🔗 Ver Mapa" display="🔗 Ver Mapa" xr:uid="{00000000-0004-0000-0000-00000D000000}"/>
    <hyperlink ref="L17" r:id="rId15" tooltip="🔗 Ver Mapa" display="🔗 Ver Mapa" xr:uid="{00000000-0004-0000-0000-00000E000000}"/>
    <hyperlink ref="L18" r:id="rId16" tooltip="🔗 Ver Mapa" display="🔗 Ver Mapa" xr:uid="{00000000-0004-0000-0000-00000F000000}"/>
    <hyperlink ref="L19" r:id="rId17" tooltip="🔗 Ver Mapa" display="🔗 Ver Mapa" xr:uid="{00000000-0004-0000-0000-000010000000}"/>
    <hyperlink ref="L20" r:id="rId18" tooltip="🔗 Ver Mapa" display="🔗 Ver Mapa" xr:uid="{00000000-0004-0000-0000-000011000000}"/>
    <hyperlink ref="L21" r:id="rId19" tooltip="🔗 Ver Mapa" display="🔗 Ver Mapa" xr:uid="{00000000-0004-0000-0000-000012000000}"/>
    <hyperlink ref="L22" r:id="rId20" tooltip="🔗 Ver Mapa" display="🔗 Ver Mapa" xr:uid="{00000000-0004-0000-0000-000013000000}"/>
    <hyperlink ref="L23" r:id="rId21" tooltip="🔗 Ver Mapa" display="🔗 Ver Mapa" xr:uid="{00000000-0004-0000-0000-000014000000}"/>
    <hyperlink ref="L24" r:id="rId22" tooltip="🔗 Ver Mapa" display="🔗 Ver Mapa" xr:uid="{00000000-0004-0000-0000-000015000000}"/>
    <hyperlink ref="L25" r:id="rId23" tooltip="🔗 Ver Mapa" display="🔗 Ver Mapa" xr:uid="{00000000-0004-0000-0000-000016000000}"/>
    <hyperlink ref="L26" r:id="rId24" tooltip="🔗 Ver Mapa" display="🔗 Ver Mapa" xr:uid="{00000000-0004-0000-0000-000017000000}"/>
    <hyperlink ref="L27" r:id="rId25" tooltip="🔗 Ver Mapa" display="🔗 Ver Mapa" xr:uid="{00000000-0004-0000-0000-000018000000}"/>
    <hyperlink ref="L28" r:id="rId26" tooltip="🔗 Ver Mapa" display="🔗 Ver Mapa" xr:uid="{00000000-0004-0000-0000-000019000000}"/>
    <hyperlink ref="L29" r:id="rId27" tooltip="🔗 Ver Mapa" display="🔗 Ver Mapa" xr:uid="{00000000-0004-0000-0000-00001A000000}"/>
    <hyperlink ref="L30" r:id="rId28" tooltip="🔗 Ver Mapa" display="🔗 Ver Mapa" xr:uid="{00000000-0004-0000-0000-00001B000000}"/>
    <hyperlink ref="L31" r:id="rId29" tooltip="🔗 Ver Mapa" display="🔗 Ver Mapa" xr:uid="{00000000-0004-0000-0000-00001C000000}"/>
    <hyperlink ref="L32" r:id="rId30" tooltip="🔗 Ver Mapa" display="🔗 Ver Mapa" xr:uid="{00000000-0004-0000-0000-00001D000000}"/>
    <hyperlink ref="L33" r:id="rId31" tooltip="🔗 Ver Mapa" display="🔗 Ver Mapa" xr:uid="{00000000-0004-0000-0000-00001E000000}"/>
    <hyperlink ref="L34" r:id="rId32" tooltip="🔗 Ver Mapa" display="🔗 Ver Mapa" xr:uid="{00000000-0004-0000-0000-00001F000000}"/>
    <hyperlink ref="L35" r:id="rId33" tooltip="🔗 Ver Mapa" display="🔗 Ver Mapa" xr:uid="{00000000-0004-0000-0000-000020000000}"/>
    <hyperlink ref="L36" r:id="rId34" tooltip="🔗 Ver Mapa" display="🔗 Ver Mapa" xr:uid="{00000000-0004-0000-0000-000021000000}"/>
    <hyperlink ref="L37" r:id="rId35" tooltip="🔗 Ver Mapa" display="🔗 Ver Mapa" xr:uid="{00000000-0004-0000-0000-000022000000}"/>
    <hyperlink ref="L38" r:id="rId36" tooltip="🔗 Ver Mapa" display="🔗 Ver Mapa" xr:uid="{00000000-0004-0000-0000-000023000000}"/>
    <hyperlink ref="L39" r:id="rId37" tooltip="🔗 Ver Mapa" display="🔗 Ver Mapa" xr:uid="{00000000-0004-0000-0000-000024000000}"/>
    <hyperlink ref="L40" r:id="rId38" tooltip="🔗 Ver Mapa" display="🔗 Ver Mapa" xr:uid="{00000000-0004-0000-0000-000025000000}"/>
    <hyperlink ref="L41" r:id="rId39" tooltip="🔗 Ver Mapa" display="🔗 Ver Mapa" xr:uid="{00000000-0004-0000-0000-000026000000}"/>
    <hyperlink ref="L42" r:id="rId40" tooltip="🔗 Ver Mapa" display="🔗 Ver Mapa" xr:uid="{00000000-0004-0000-0000-000027000000}"/>
    <hyperlink ref="L43" r:id="rId41" tooltip="🔗 Ver Mapa" display="🔗 Ver Mapa" xr:uid="{00000000-0004-0000-0000-000028000000}"/>
    <hyperlink ref="L44" r:id="rId42" tooltip="🔗 Ver Mapa" display="🔗 Ver Mapa" xr:uid="{00000000-0004-0000-0000-000029000000}"/>
    <hyperlink ref="L45" r:id="rId43" tooltip="🔗 Ver Mapa" display="🔗 Ver Mapa" xr:uid="{00000000-0004-0000-0000-00002A000000}"/>
    <hyperlink ref="L46" r:id="rId44" tooltip="🔗 Ver Mapa" display="🔗 Ver Mapa" xr:uid="{00000000-0004-0000-0000-00002B000000}"/>
    <hyperlink ref="L47" r:id="rId45" tooltip="🔗 Ver Mapa" display="🔗 Ver Mapa" xr:uid="{00000000-0004-0000-0000-00002C000000}"/>
    <hyperlink ref="L48" r:id="rId46" tooltip="🔗 Ver Mapa" display="🔗 Ver Mapa" xr:uid="{00000000-0004-0000-0000-00002D000000}"/>
    <hyperlink ref="L49" r:id="rId47" tooltip="🔗 Ver Mapa" display="🔗 Ver Mapa" xr:uid="{00000000-0004-0000-0000-00002E000000}"/>
    <hyperlink ref="L50" r:id="rId48" tooltip="🔗 Ver Mapa" display="🔗 Ver Mapa" xr:uid="{00000000-0004-0000-0000-00002F000000}"/>
    <hyperlink ref="L51" r:id="rId49" tooltip="🔗 Ver Mapa" display="🔗 Ver Mapa" xr:uid="{00000000-0004-0000-0000-000030000000}"/>
    <hyperlink ref="L52" r:id="rId50" tooltip="🔗 Ver Mapa" display="🔗 Ver Mapa" xr:uid="{00000000-0004-0000-0000-000031000000}"/>
    <hyperlink ref="L53" r:id="rId51" tooltip="🔗 Ver Mapa" display="🔗 Ver Mapa" xr:uid="{00000000-0004-0000-0000-000032000000}"/>
    <hyperlink ref="L54" r:id="rId52" tooltip="🔗 Ver Mapa" display="🔗 Ver Mapa" xr:uid="{00000000-0004-0000-0000-000033000000}"/>
    <hyperlink ref="L55" r:id="rId53" tooltip="🔗 Ver Mapa" display="🔗 Ver Mapa" xr:uid="{00000000-0004-0000-0000-000034000000}"/>
    <hyperlink ref="L56" r:id="rId54" tooltip="🔗 Ver Mapa" display="🔗 Ver Mapa" xr:uid="{00000000-0004-0000-0000-000035000000}"/>
    <hyperlink ref="L57" r:id="rId55" tooltip="🔗 Ver Mapa" display="🔗 Ver Mapa" xr:uid="{00000000-0004-0000-0000-000036000000}"/>
    <hyperlink ref="L58" r:id="rId56" tooltip="🔗 Ver Mapa" display="🔗 Ver Mapa" xr:uid="{00000000-0004-0000-0000-000037000000}"/>
    <hyperlink ref="L59" r:id="rId57" tooltip="🔗 Ver Mapa" display="🔗 Ver Mapa" xr:uid="{00000000-0004-0000-0000-000038000000}"/>
    <hyperlink ref="L60" r:id="rId58" tooltip="🔗 Ver Mapa" display="🔗 Ver Mapa" xr:uid="{00000000-0004-0000-0000-000039000000}"/>
    <hyperlink ref="L61" r:id="rId59" tooltip="🔗 Ver Mapa" display="🔗 Ver Mapa" xr:uid="{00000000-0004-0000-0000-00003A000000}"/>
    <hyperlink ref="L62" r:id="rId60" tooltip="🔗 Ver Mapa" display="🔗 Ver Mapa" xr:uid="{00000000-0004-0000-0000-00003B000000}"/>
    <hyperlink ref="L63" r:id="rId61" tooltip="🔗 Ver Mapa" display="🔗 Ver Mapa" xr:uid="{00000000-0004-0000-0000-00003C000000}"/>
    <hyperlink ref="L64" r:id="rId62" tooltip="🔗 Ver Mapa" display="🔗 Ver Mapa" xr:uid="{00000000-0004-0000-0000-00003D000000}"/>
    <hyperlink ref="L65" r:id="rId63" tooltip="🔗 Ver Mapa" display="🔗 Ver Mapa" xr:uid="{00000000-0004-0000-0000-00003E000000}"/>
    <hyperlink ref="L66" r:id="rId64" tooltip="🔗 Ver Mapa" display="🔗 Ver Mapa" xr:uid="{00000000-0004-0000-0000-00003F000000}"/>
    <hyperlink ref="L67" r:id="rId65" tooltip="🔗 Ver Mapa" display="🔗 Ver Mapa" xr:uid="{00000000-0004-0000-0000-000040000000}"/>
    <hyperlink ref="L68" r:id="rId66" tooltip="🔗 Ver Mapa" display="🔗 Ver Mapa" xr:uid="{00000000-0004-0000-0000-000041000000}"/>
    <hyperlink ref="L69" r:id="rId67" tooltip="🔗 Ver Mapa" display="🔗 Ver Mapa" xr:uid="{00000000-0004-0000-0000-000042000000}"/>
    <hyperlink ref="L70" r:id="rId68" tooltip="🔗 Ver Mapa" display="🔗 Ver Mapa" xr:uid="{00000000-0004-0000-0000-000043000000}"/>
    <hyperlink ref="L71" r:id="rId69" tooltip="🔗 Ver Mapa" display="🔗 Ver Mapa" xr:uid="{00000000-0004-0000-0000-000044000000}"/>
    <hyperlink ref="L72" r:id="rId70" tooltip="🔗 Ver Mapa" display="🔗 Ver Mapa" xr:uid="{00000000-0004-0000-0000-000045000000}"/>
    <hyperlink ref="L73" r:id="rId71" tooltip="🔗 Ver Mapa" display="🔗 Ver Mapa" xr:uid="{00000000-0004-0000-0000-000046000000}"/>
    <hyperlink ref="L74" r:id="rId72" tooltip="🔗 Ver Mapa" display="🔗 Ver Mapa" xr:uid="{00000000-0004-0000-0000-000047000000}"/>
    <hyperlink ref="L75" r:id="rId73" tooltip="🔗 Ver Mapa" display="🔗 Ver Mapa" xr:uid="{00000000-0004-0000-0000-000048000000}"/>
    <hyperlink ref="L76" r:id="rId74" tooltip="🔗 Ver Mapa" display="🔗 Ver Mapa" xr:uid="{00000000-0004-0000-0000-000049000000}"/>
    <hyperlink ref="L77" r:id="rId75" tooltip="🔗 Ver Mapa" display="🔗 Ver Mapa" xr:uid="{00000000-0004-0000-0000-00004A000000}"/>
    <hyperlink ref="L78" r:id="rId76" tooltip="🔗 Ver Mapa" display="🔗 Ver Mapa" xr:uid="{00000000-0004-0000-0000-00004B000000}"/>
    <hyperlink ref="L79" r:id="rId77" tooltip="🔗 Ver Mapa" display="🔗 Ver Mapa" xr:uid="{00000000-0004-0000-0000-00004C000000}"/>
    <hyperlink ref="L80" r:id="rId78" tooltip="🔗 Ver Mapa" display="🔗 Ver Mapa" xr:uid="{00000000-0004-0000-0000-00004D000000}"/>
    <hyperlink ref="L81" r:id="rId79" tooltip="🔗 Ver Mapa" display="🔗 Ver Mapa" xr:uid="{00000000-0004-0000-0000-00004E000000}"/>
    <hyperlink ref="L82" r:id="rId80" tooltip="🔗 Ver Mapa" display="🔗 Ver Mapa" xr:uid="{00000000-0004-0000-0000-00004F000000}"/>
    <hyperlink ref="L83" r:id="rId81" tooltip="🔗 Ver Mapa" display="🔗 Ver Mapa" xr:uid="{00000000-0004-0000-0000-000050000000}"/>
    <hyperlink ref="L84" r:id="rId82" tooltip="🔗 Ver Mapa" display="🔗 Ver Mapa" xr:uid="{00000000-0004-0000-0000-000051000000}"/>
    <hyperlink ref="L85" r:id="rId83" tooltip="🔗 Ver Mapa" display="🔗 Ver Mapa" xr:uid="{00000000-0004-0000-0000-000052000000}"/>
    <hyperlink ref="L86" r:id="rId84" tooltip="🔗 Ver Mapa" display="🔗 Ver Mapa" xr:uid="{00000000-0004-0000-0000-000053000000}"/>
    <hyperlink ref="L87" r:id="rId85" tooltip="🔗 Ver Mapa" display="🔗 Ver Mapa" xr:uid="{00000000-0004-0000-0000-000054000000}"/>
    <hyperlink ref="L88" r:id="rId86" tooltip="🔗 Ver Mapa" display="🔗 Ver Mapa" xr:uid="{00000000-0004-0000-0000-000055000000}"/>
    <hyperlink ref="L89" r:id="rId87" tooltip="🔗 Ver Mapa" display="🔗 Ver Mapa" xr:uid="{00000000-0004-0000-0000-000056000000}"/>
    <hyperlink ref="L90" r:id="rId88" tooltip="🔗 Ver Mapa" display="🔗 Ver Mapa" xr:uid="{00000000-0004-0000-0000-000057000000}"/>
    <hyperlink ref="L91" r:id="rId89" tooltip="🔗 Ver Mapa" display="🔗 Ver Mapa" xr:uid="{00000000-0004-0000-0000-000058000000}"/>
    <hyperlink ref="L92" r:id="rId90" tooltip="🔗 Ver Mapa" display="🔗 Ver Mapa" xr:uid="{00000000-0004-0000-0000-000059000000}"/>
    <hyperlink ref="L93" r:id="rId91" tooltip="🔗 Ver Mapa" display="🔗 Ver Mapa" xr:uid="{00000000-0004-0000-0000-00005A000000}"/>
    <hyperlink ref="L94" r:id="rId92" tooltip="🔗 Ver Mapa" display="🔗 Ver Mapa" xr:uid="{00000000-0004-0000-0000-00005B000000}"/>
    <hyperlink ref="L95" r:id="rId93" tooltip="🔗 Ver Mapa" display="🔗 Ver Mapa" xr:uid="{00000000-0004-0000-0000-00005C000000}"/>
    <hyperlink ref="L96" r:id="rId94" tooltip="🔗 Ver Mapa" display="🔗 Ver Mapa" xr:uid="{00000000-0004-0000-0000-00005D000000}"/>
    <hyperlink ref="L97" r:id="rId95" tooltip="🔗 Ver Mapa" display="🔗 Ver Mapa" xr:uid="{00000000-0004-0000-0000-00005E000000}"/>
    <hyperlink ref="L98" r:id="rId96" tooltip="🔗 Ver Mapa" display="🔗 Ver Mapa" xr:uid="{00000000-0004-0000-0000-00005F000000}"/>
    <hyperlink ref="L99" r:id="rId97" tooltip="🔗 Ver Mapa" display="🔗 Ver Mapa" xr:uid="{00000000-0004-0000-0000-000060000000}"/>
    <hyperlink ref="L100" r:id="rId98" tooltip="🔗 Ver Mapa" display="🔗 Ver Mapa" xr:uid="{00000000-0004-0000-0000-000061000000}"/>
    <hyperlink ref="L101" r:id="rId99" tooltip="🔗 Ver Mapa" display="🔗 Ver Mapa" xr:uid="{00000000-0004-0000-0000-000062000000}"/>
    <hyperlink ref="L102" r:id="rId100" tooltip="🔗 Ver Mapa" display="🔗 Ver Mapa" xr:uid="{00000000-0004-0000-0000-000063000000}"/>
    <hyperlink ref="L103" r:id="rId101" tooltip="🔗 Ver Mapa" display="🔗 Ver Mapa" xr:uid="{00000000-0004-0000-0000-000064000000}"/>
    <hyperlink ref="L104" r:id="rId102" tooltip="🔗 Ver Mapa" display="🔗 Ver Mapa" xr:uid="{00000000-0004-0000-0000-000065000000}"/>
    <hyperlink ref="L105" r:id="rId103" tooltip="🔗 Ver Mapa" display="🔗 Ver Mapa" xr:uid="{00000000-0004-0000-0000-000066000000}"/>
    <hyperlink ref="L106" r:id="rId104" tooltip="🔗 Ver Mapa" display="🔗 Ver Mapa" xr:uid="{00000000-0004-0000-0000-000067000000}"/>
    <hyperlink ref="L107" r:id="rId105" tooltip="🔗 Ver Mapa" display="🔗 Ver Mapa" xr:uid="{00000000-0004-0000-0000-000068000000}"/>
    <hyperlink ref="L108" r:id="rId106" tooltip="🔗 Ver Mapa" display="🔗 Ver Mapa" xr:uid="{00000000-0004-0000-0000-000069000000}"/>
    <hyperlink ref="L109" r:id="rId107" tooltip="🔗 Ver Mapa" display="🔗 Ver Mapa" xr:uid="{00000000-0004-0000-0000-00006A000000}"/>
    <hyperlink ref="L110" r:id="rId108" tooltip="🔗 Ver Mapa" display="🔗 Ver Mapa" xr:uid="{00000000-0004-0000-0000-00006B000000}"/>
    <hyperlink ref="L111" r:id="rId109" tooltip="🔗 Ver Mapa" display="🔗 Ver Mapa" xr:uid="{00000000-0004-0000-0000-00006C000000}"/>
    <hyperlink ref="L112" r:id="rId110" tooltip="🔗 Ver Mapa" display="🔗 Ver Mapa" xr:uid="{00000000-0004-0000-0000-00006D000000}"/>
    <hyperlink ref="L113" r:id="rId111" tooltip="🔗 Ver Mapa" display="🔗 Ver Mapa" xr:uid="{00000000-0004-0000-0000-00006E000000}"/>
    <hyperlink ref="L114" r:id="rId112" tooltip="🔗 Ver Mapa" display="🔗 Ver Mapa" xr:uid="{00000000-0004-0000-0000-00006F000000}"/>
    <hyperlink ref="L115" r:id="rId113" tooltip="🔗 Ver Mapa" display="🔗 Ver Mapa" xr:uid="{00000000-0004-0000-0000-000070000000}"/>
    <hyperlink ref="L116" r:id="rId114" tooltip="🔗 Ver Mapa" display="🔗 Ver Mapa" xr:uid="{00000000-0004-0000-0000-000071000000}"/>
    <hyperlink ref="L117" r:id="rId115" tooltip="🔗 Ver Mapa" display="🔗 Ver Mapa" xr:uid="{00000000-0004-0000-0000-000072000000}"/>
    <hyperlink ref="L118" r:id="rId116" tooltip="🔗 Ver Mapa" display="🔗 Ver Mapa" xr:uid="{00000000-0004-0000-0000-000073000000}"/>
    <hyperlink ref="L119" r:id="rId117" tooltip="🔗 Ver Mapa" display="🔗 Ver Mapa" xr:uid="{00000000-0004-0000-0000-000074000000}"/>
    <hyperlink ref="L120" r:id="rId118" tooltip="🔗 Ver Mapa" display="🔗 Ver Mapa" xr:uid="{00000000-0004-0000-0000-000075000000}"/>
    <hyperlink ref="L121" r:id="rId119" tooltip="🔗 Ver Mapa" display="🔗 Ver Mapa" xr:uid="{00000000-0004-0000-0000-000076000000}"/>
    <hyperlink ref="L122" r:id="rId120" tooltip="🔗 Ver Mapa" display="🔗 Ver Mapa" xr:uid="{00000000-0004-0000-0000-000077000000}"/>
    <hyperlink ref="L123" r:id="rId121" tooltip="🔗 Ver Mapa" display="🔗 Ver Mapa" xr:uid="{00000000-0004-0000-0000-000078000000}"/>
    <hyperlink ref="L124" r:id="rId122" tooltip="🔗 Ver Mapa" display="🔗 Ver Mapa" xr:uid="{00000000-0004-0000-0000-000079000000}"/>
    <hyperlink ref="L125" r:id="rId123" tooltip="🔗 Ver Mapa" display="🔗 Ver Mapa" xr:uid="{00000000-0004-0000-0000-00007A000000}"/>
    <hyperlink ref="L126" r:id="rId124" tooltip="🔗 Ver Mapa" display="🔗 Ver Mapa" xr:uid="{00000000-0004-0000-0000-00007B000000}"/>
    <hyperlink ref="L127" r:id="rId125" tooltip="🔗 Ver Mapa" display="🔗 Ver Mapa" xr:uid="{00000000-0004-0000-0000-00007C000000}"/>
    <hyperlink ref="L128" r:id="rId126" tooltip="🔗 Ver Mapa" display="🔗 Ver Mapa" xr:uid="{00000000-0004-0000-0000-00007D000000}"/>
    <hyperlink ref="L129" r:id="rId127" tooltip="🔗 Ver Mapa" display="🔗 Ver Mapa" xr:uid="{00000000-0004-0000-0000-00007E000000}"/>
    <hyperlink ref="L130" r:id="rId128" tooltip="🔗 Ver Mapa" display="🔗 Ver Mapa" xr:uid="{00000000-0004-0000-0000-00007F000000}"/>
    <hyperlink ref="L131" r:id="rId129" tooltip="🔗 Ver Mapa" display="🔗 Ver Mapa" xr:uid="{00000000-0004-0000-0000-000080000000}"/>
    <hyperlink ref="L132" r:id="rId130" tooltip="🔗 Ver Mapa" display="🔗 Ver Mapa" xr:uid="{00000000-0004-0000-0000-000081000000}"/>
    <hyperlink ref="L133" r:id="rId131" tooltip="🔗 Ver Mapa" display="🔗 Ver Mapa" xr:uid="{00000000-0004-0000-0000-000082000000}"/>
    <hyperlink ref="L134" r:id="rId132" tooltip="🔗 Ver Mapa" display="🔗 Ver Mapa" xr:uid="{00000000-0004-0000-0000-000083000000}"/>
    <hyperlink ref="L135" r:id="rId133" tooltip="🔗 Ver Mapa" display="🔗 Ver Mapa" xr:uid="{00000000-0004-0000-0000-000084000000}"/>
    <hyperlink ref="L136" r:id="rId134" tooltip="🔗 Ver Mapa" display="🔗 Ver Mapa" xr:uid="{00000000-0004-0000-0000-000085000000}"/>
    <hyperlink ref="L137" r:id="rId135" tooltip="🔗 Ver Mapa" display="🔗 Ver Mapa" xr:uid="{00000000-0004-0000-0000-000086000000}"/>
    <hyperlink ref="L138" r:id="rId136" tooltip="🔗 Ver Mapa" display="🔗 Ver Mapa" xr:uid="{00000000-0004-0000-0000-000087000000}"/>
    <hyperlink ref="L139" r:id="rId137" tooltip="🔗 Ver Mapa" display="🔗 Ver Mapa" xr:uid="{00000000-0004-0000-0000-000088000000}"/>
    <hyperlink ref="L140" r:id="rId138" tooltip="🔗 Ver Mapa" display="🔗 Ver Mapa" xr:uid="{00000000-0004-0000-0000-000089000000}"/>
    <hyperlink ref="L141" r:id="rId139" tooltip="🔗 Ver Mapa" display="🔗 Ver Mapa" xr:uid="{00000000-0004-0000-0000-00008A000000}"/>
    <hyperlink ref="L142" r:id="rId140" tooltip="🔗 Ver Mapa" display="🔗 Ver Mapa" xr:uid="{00000000-0004-0000-0000-00008B000000}"/>
    <hyperlink ref="L143" r:id="rId141" tooltip="🔗 Ver Mapa" display="🔗 Ver Mapa" xr:uid="{00000000-0004-0000-0000-00008C000000}"/>
    <hyperlink ref="L144" r:id="rId142" tooltip="🔗 Ver Mapa" display="🔗 Ver Mapa" xr:uid="{00000000-0004-0000-0000-00008D000000}"/>
    <hyperlink ref="L145" r:id="rId143" tooltip="🔗 Ver Mapa" display="🔗 Ver Mapa" xr:uid="{00000000-0004-0000-0000-00008E000000}"/>
    <hyperlink ref="L146" r:id="rId144" tooltip="🔗 Ver Mapa" display="🔗 Ver Mapa" xr:uid="{00000000-0004-0000-0000-00008F000000}"/>
    <hyperlink ref="L147" r:id="rId145" tooltip="🔗 Ver Mapa" display="🔗 Ver Mapa" xr:uid="{00000000-0004-0000-0000-000090000000}"/>
    <hyperlink ref="L148" r:id="rId146" tooltip="🔗 Ver Mapa" display="🔗 Ver Mapa" xr:uid="{00000000-0004-0000-0000-000091000000}"/>
    <hyperlink ref="L149" r:id="rId147" tooltip="🔗 Ver Mapa" display="🔗 Ver Mapa" xr:uid="{00000000-0004-0000-0000-000092000000}"/>
    <hyperlink ref="L150" r:id="rId148" tooltip="🔗 Ver Mapa" display="🔗 Ver Mapa" xr:uid="{00000000-0004-0000-0000-000093000000}"/>
    <hyperlink ref="L151" r:id="rId149" tooltip="🔗 Ver Mapa" display="🔗 Ver Mapa" xr:uid="{00000000-0004-0000-0000-000094000000}"/>
    <hyperlink ref="L152" r:id="rId150" tooltip="🔗 Ver Mapa" display="🔗 Ver Mapa" xr:uid="{00000000-0004-0000-0000-000095000000}"/>
    <hyperlink ref="L153" r:id="rId151" tooltip="🔗 Ver Mapa" display="🔗 Ver Mapa" xr:uid="{00000000-0004-0000-0000-000096000000}"/>
    <hyperlink ref="L154" r:id="rId152" tooltip="🔗 Ver Mapa" display="🔗 Ver Mapa" xr:uid="{00000000-0004-0000-0000-000097000000}"/>
    <hyperlink ref="L155" r:id="rId153" tooltip="🔗 Ver Mapa" display="🔗 Ver Mapa" xr:uid="{00000000-0004-0000-0000-000098000000}"/>
    <hyperlink ref="L156" r:id="rId154" tooltip="🔗 Ver Mapa" display="🔗 Ver Mapa" xr:uid="{00000000-0004-0000-0000-000099000000}"/>
    <hyperlink ref="L157" r:id="rId155" tooltip="🔗 Ver Mapa" display="🔗 Ver Mapa" xr:uid="{00000000-0004-0000-0000-00009A000000}"/>
    <hyperlink ref="L158" r:id="rId156" tooltip="🔗 Ver Mapa" display="🔗 Ver Mapa" xr:uid="{00000000-0004-0000-0000-00009B000000}"/>
    <hyperlink ref="L159" r:id="rId157" tooltip="🔗 Ver Mapa" display="🔗 Ver Mapa" xr:uid="{00000000-0004-0000-0000-00009C000000}"/>
    <hyperlink ref="L160" r:id="rId158" tooltip="🔗 Ver Mapa" display="🔗 Ver Mapa" xr:uid="{00000000-0004-0000-0000-00009D000000}"/>
    <hyperlink ref="L161" r:id="rId159" tooltip="🔗 Ver Mapa" display="🔗 Ver Mapa" xr:uid="{00000000-0004-0000-0000-00009E000000}"/>
    <hyperlink ref="L162" r:id="rId160" tooltip="🔗 Ver Mapa" display="🔗 Ver Mapa" xr:uid="{00000000-0004-0000-0000-00009F000000}"/>
    <hyperlink ref="L163" r:id="rId161" tooltip="🔗 Ver Mapa" display="🔗 Ver Mapa" xr:uid="{00000000-0004-0000-0000-0000A0000000}"/>
    <hyperlink ref="L164" r:id="rId162" tooltip="🔗 Ver Mapa" display="🔗 Ver Mapa" xr:uid="{00000000-0004-0000-0000-0000A1000000}"/>
    <hyperlink ref="L165" r:id="rId163" tooltip="🔗 Ver Mapa" display="🔗 Ver Mapa" xr:uid="{00000000-0004-0000-0000-0000A2000000}"/>
    <hyperlink ref="L166" r:id="rId164" tooltip="🔗 Ver Mapa" display="🔗 Ver Mapa" xr:uid="{00000000-0004-0000-0000-0000A3000000}"/>
    <hyperlink ref="L167" r:id="rId165" tooltip="🔗 Ver Mapa" display="🔗 Ver Mapa" xr:uid="{00000000-0004-0000-0000-0000A4000000}"/>
    <hyperlink ref="L168" r:id="rId166" tooltip="🔗 Ver Mapa" display="🔗 Ver Mapa" xr:uid="{00000000-0004-0000-0000-0000A5000000}"/>
    <hyperlink ref="L169" r:id="rId167" tooltip="🔗 Ver Mapa" display="🔗 Ver Mapa" xr:uid="{00000000-0004-0000-0000-0000A6000000}"/>
    <hyperlink ref="L170" r:id="rId168" tooltip="🔗 Ver Mapa" display="🔗 Ver Mapa" xr:uid="{00000000-0004-0000-0000-0000A7000000}"/>
    <hyperlink ref="L171" r:id="rId169" tooltip="🔗 Ver Mapa" display="🔗 Ver Mapa" xr:uid="{00000000-0004-0000-0000-0000A8000000}"/>
    <hyperlink ref="L172" r:id="rId170" tooltip="🔗 Ver Mapa" display="🔗 Ver Mapa" xr:uid="{00000000-0004-0000-0000-0000A9000000}"/>
    <hyperlink ref="L173" r:id="rId171" tooltip="🔗 Ver Mapa" display="🔗 Ver Mapa" xr:uid="{00000000-0004-0000-0000-0000AA000000}"/>
    <hyperlink ref="L174" r:id="rId172" tooltip="🔗 Ver Mapa" display="🔗 Ver Mapa" xr:uid="{00000000-0004-0000-0000-0000AB000000}"/>
    <hyperlink ref="L175" r:id="rId173" tooltip="🔗 Ver Mapa" display="🔗 Ver Mapa" xr:uid="{00000000-0004-0000-0000-0000AC000000}"/>
    <hyperlink ref="L176" r:id="rId174" tooltip="🔗 Ver Mapa" display="🔗 Ver Mapa" xr:uid="{00000000-0004-0000-0000-0000AD000000}"/>
    <hyperlink ref="L177" r:id="rId175" tooltip="🔗 Ver Mapa" display="🔗 Ver Mapa" xr:uid="{00000000-0004-0000-0000-0000AE000000}"/>
    <hyperlink ref="L178" r:id="rId176" tooltip="🔗 Ver Mapa" display="🔗 Ver Mapa" xr:uid="{00000000-0004-0000-0000-0000AF000000}"/>
    <hyperlink ref="L179" r:id="rId177" tooltip="🔗 Ver Mapa" display="🔗 Ver Mapa" xr:uid="{00000000-0004-0000-0000-0000B0000000}"/>
    <hyperlink ref="L180" r:id="rId178" tooltip="🔗 Ver Mapa" display="🔗 Ver Mapa" xr:uid="{00000000-0004-0000-0000-0000B1000000}"/>
    <hyperlink ref="L181" r:id="rId179" tooltip="🔗 Ver Mapa" display="🔗 Ver Mapa" xr:uid="{00000000-0004-0000-0000-0000B2000000}"/>
    <hyperlink ref="L182" r:id="rId180" tooltip="🔗 Ver Mapa" display="🔗 Ver Mapa" xr:uid="{00000000-0004-0000-0000-0000B3000000}"/>
    <hyperlink ref="L183" r:id="rId181" tooltip="🔗 Ver Mapa" display="🔗 Ver Mapa" xr:uid="{00000000-0004-0000-0000-0000B4000000}"/>
    <hyperlink ref="L184" r:id="rId182" tooltip="🔗 Ver Mapa" display="🔗 Ver Mapa" xr:uid="{00000000-0004-0000-0000-0000B5000000}"/>
    <hyperlink ref="L185" r:id="rId183" tooltip="🔗 Ver Mapa" display="🔗 Ver Mapa" xr:uid="{00000000-0004-0000-0000-0000B6000000}"/>
    <hyperlink ref="L186" r:id="rId184" tooltip="🔗 Ver Mapa" display="🔗 Ver Mapa" xr:uid="{00000000-0004-0000-0000-0000B7000000}"/>
    <hyperlink ref="L187" r:id="rId185" tooltip="🔗 Ver Mapa" display="🔗 Ver Mapa" xr:uid="{00000000-0004-0000-0000-0000B8000000}"/>
    <hyperlink ref="L188" r:id="rId186" tooltip="🔗 Ver Mapa" display="🔗 Ver Mapa" xr:uid="{00000000-0004-0000-0000-0000B9000000}"/>
    <hyperlink ref="L189" r:id="rId187" tooltip="🔗 Ver Mapa" display="🔗 Ver Mapa" xr:uid="{00000000-0004-0000-0000-0000BA000000}"/>
    <hyperlink ref="L190" r:id="rId188" tooltip="🔗 Ver Mapa" display="🔗 Ver Mapa" xr:uid="{00000000-0004-0000-0000-0000BB000000}"/>
    <hyperlink ref="L191" r:id="rId189" tooltip="🔗 Ver Mapa" display="🔗 Ver Mapa" xr:uid="{00000000-0004-0000-0000-0000BC000000}"/>
    <hyperlink ref="L192" r:id="rId190" tooltip="🔗 Ver Mapa" display="🔗 Ver Mapa" xr:uid="{00000000-0004-0000-0000-0000BD000000}"/>
    <hyperlink ref="L193" r:id="rId191" tooltip="🔗 Ver Mapa" display="🔗 Ver Mapa" xr:uid="{00000000-0004-0000-0000-0000BE000000}"/>
    <hyperlink ref="L194" r:id="rId192" tooltip="🔗 Ver Mapa" display="🔗 Ver Mapa" xr:uid="{00000000-0004-0000-0000-0000BF000000}"/>
    <hyperlink ref="L195" r:id="rId193" tooltip="🔗 Ver Mapa" display="🔗 Ver Mapa" xr:uid="{00000000-0004-0000-0000-0000C0000000}"/>
    <hyperlink ref="L196" r:id="rId194" tooltip="🔗 Ver Mapa" display="🔗 Ver Mapa" xr:uid="{00000000-0004-0000-0000-0000C1000000}"/>
    <hyperlink ref="L197" r:id="rId195" tooltip="🔗 Ver Mapa" display="🔗 Ver Mapa" xr:uid="{00000000-0004-0000-0000-0000C2000000}"/>
    <hyperlink ref="L198" r:id="rId196" tooltip="🔗 Ver Mapa" display="🔗 Ver Mapa" xr:uid="{00000000-0004-0000-0000-0000C3000000}"/>
    <hyperlink ref="L199" r:id="rId197" tooltip="🔗 Ver Mapa" display="🔗 Ver Mapa" xr:uid="{00000000-0004-0000-0000-0000C4000000}"/>
    <hyperlink ref="L200" r:id="rId198" tooltip="🔗 Ver Mapa" display="🔗 Ver Mapa" xr:uid="{00000000-0004-0000-0000-0000C5000000}"/>
    <hyperlink ref="L201" r:id="rId199" tooltip="🔗 Ver Mapa" display="🔗 Ver Mapa" xr:uid="{00000000-0004-0000-0000-0000C6000000}"/>
    <hyperlink ref="L202" r:id="rId200" tooltip="🔗 Ver Mapa" display="🔗 Ver Mapa" xr:uid="{00000000-0004-0000-0000-0000C7000000}"/>
    <hyperlink ref="L203" r:id="rId201" tooltip="🔗 Ver Mapa" display="🔗 Ver Mapa" xr:uid="{00000000-0004-0000-0000-0000C8000000}"/>
    <hyperlink ref="L204" r:id="rId202" tooltip="🔗 Ver Mapa" display="🔗 Ver Mapa" xr:uid="{00000000-0004-0000-0000-0000C9000000}"/>
    <hyperlink ref="L205" r:id="rId203" tooltip="🔗 Ver Mapa" display="🔗 Ver Mapa" xr:uid="{00000000-0004-0000-0000-0000CA000000}"/>
    <hyperlink ref="L206" r:id="rId204" tooltip="🔗 Ver Mapa" display="🔗 Ver Mapa" xr:uid="{00000000-0004-0000-0000-0000CB000000}"/>
    <hyperlink ref="L207" r:id="rId205" tooltip="🔗 Ver Mapa" display="🔗 Ver Mapa" xr:uid="{00000000-0004-0000-0000-0000CC000000}"/>
    <hyperlink ref="L208" r:id="rId206" tooltip="🔗 Ver Mapa" display="🔗 Ver Mapa" xr:uid="{00000000-0004-0000-0000-0000CD000000}"/>
    <hyperlink ref="L209" r:id="rId207" tooltip="🔗 Ver Mapa" display="🔗 Ver Mapa" xr:uid="{00000000-0004-0000-0000-0000CE000000}"/>
    <hyperlink ref="L210" r:id="rId208" tooltip="🔗 Ver Mapa" display="🔗 Ver Mapa" xr:uid="{00000000-0004-0000-0000-0000CF000000}"/>
    <hyperlink ref="L211" r:id="rId209" tooltip="🔗 Ver Mapa" display="🔗 Ver Mapa" xr:uid="{00000000-0004-0000-0000-0000D0000000}"/>
    <hyperlink ref="L212" r:id="rId210" tooltip="🔗 Ver Mapa" display="🔗 Ver Mapa" xr:uid="{00000000-0004-0000-0000-0000D1000000}"/>
    <hyperlink ref="L213" r:id="rId211" tooltip="🔗 Ver Mapa" display="🔗 Ver Mapa" xr:uid="{00000000-0004-0000-0000-0000D2000000}"/>
    <hyperlink ref="L214" r:id="rId212" tooltip="🔗 Ver Mapa" display="🔗 Ver Mapa" xr:uid="{00000000-0004-0000-0000-0000D3000000}"/>
    <hyperlink ref="L215" r:id="rId213" tooltip="🔗 Ver Mapa" display="🔗 Ver Mapa" xr:uid="{00000000-0004-0000-0000-0000D4000000}"/>
    <hyperlink ref="L216" r:id="rId214" tooltip="🔗 Ver Mapa" display="🔗 Ver Mapa" xr:uid="{00000000-0004-0000-0000-0000D5000000}"/>
    <hyperlink ref="L217" r:id="rId215" tooltip="🔗 Ver Mapa" display="🔗 Ver Mapa" xr:uid="{00000000-0004-0000-0000-0000D6000000}"/>
    <hyperlink ref="L218" r:id="rId216" tooltip="🔗 Ver Mapa" display="🔗 Ver Mapa" xr:uid="{00000000-0004-0000-0000-0000D7000000}"/>
    <hyperlink ref="L219" r:id="rId217" tooltip="🔗 Ver Mapa" display="🔗 Ver Mapa" xr:uid="{00000000-0004-0000-0000-0000D8000000}"/>
    <hyperlink ref="L220" r:id="rId218" tooltip="🔗 Ver Mapa" display="🔗 Ver Mapa" xr:uid="{00000000-0004-0000-0000-0000D9000000}"/>
    <hyperlink ref="L221" r:id="rId219" tooltip="🔗 Ver Mapa" display="🔗 Ver Mapa" xr:uid="{00000000-0004-0000-0000-0000DA000000}"/>
    <hyperlink ref="L222" r:id="rId220" tooltip="🔗 Ver Mapa" display="🔗 Ver Mapa" xr:uid="{00000000-0004-0000-0000-0000DB000000}"/>
    <hyperlink ref="L223" r:id="rId221" tooltip="🔗 Ver Mapa" display="🔗 Ver Mapa" xr:uid="{00000000-0004-0000-0000-0000DC000000}"/>
    <hyperlink ref="L224" r:id="rId222" tooltip="🔗 Ver Mapa" display="🔗 Ver Mapa" xr:uid="{00000000-0004-0000-0000-0000DD000000}"/>
    <hyperlink ref="L225" r:id="rId223" tooltip="🔗 Ver Mapa" display="🔗 Ver Mapa" xr:uid="{00000000-0004-0000-0000-0000DE000000}"/>
    <hyperlink ref="L226" r:id="rId224" tooltip="🔗 Ver Mapa" display="🔗 Ver Mapa" xr:uid="{00000000-0004-0000-0000-0000DF000000}"/>
    <hyperlink ref="L227" r:id="rId225" tooltip="🔗 Ver Mapa" display="🔗 Ver Mapa" xr:uid="{00000000-0004-0000-0000-0000E0000000}"/>
    <hyperlink ref="L228" r:id="rId226" tooltip="🔗 Ver Mapa" display="🔗 Ver Mapa" xr:uid="{00000000-0004-0000-0000-0000E1000000}"/>
    <hyperlink ref="L229" r:id="rId227" tooltip="🔗 Ver Mapa" display="🔗 Ver Mapa" xr:uid="{00000000-0004-0000-0000-0000E2000000}"/>
    <hyperlink ref="L230" r:id="rId228" tooltip="🔗 Ver Mapa" display="🔗 Ver Mapa" xr:uid="{00000000-0004-0000-0000-0000E3000000}"/>
    <hyperlink ref="L231" r:id="rId229" tooltip="🔗 Ver Mapa" display="🔗 Ver Mapa" xr:uid="{00000000-0004-0000-0000-0000E4000000}"/>
    <hyperlink ref="L232" r:id="rId230" tooltip="🔗 Ver Mapa" display="🔗 Ver Mapa" xr:uid="{00000000-0004-0000-0000-0000E5000000}"/>
    <hyperlink ref="L233" r:id="rId231" tooltip="🔗 Ver Mapa" display="🔗 Ver Mapa" xr:uid="{00000000-0004-0000-0000-0000E6000000}"/>
    <hyperlink ref="L234" r:id="rId232" tooltip="🔗 Ver Mapa" display="🔗 Ver Mapa" xr:uid="{00000000-0004-0000-0000-0000E7000000}"/>
    <hyperlink ref="L235" r:id="rId233" tooltip="🔗 Ver Mapa" display="🔗 Ver Mapa" xr:uid="{00000000-0004-0000-0000-0000E8000000}"/>
    <hyperlink ref="L236" r:id="rId234" tooltip="🔗 Ver Mapa" display="🔗 Ver Mapa" xr:uid="{00000000-0004-0000-0000-0000E9000000}"/>
    <hyperlink ref="L237" r:id="rId235" tooltip="🔗 Ver Mapa" display="🔗 Ver Mapa" xr:uid="{00000000-0004-0000-0000-0000EA000000}"/>
    <hyperlink ref="L238" r:id="rId236" tooltip="🔗 Ver Mapa" display="🔗 Ver Mapa" xr:uid="{00000000-0004-0000-0000-0000EB000000}"/>
    <hyperlink ref="L239" r:id="rId237" tooltip="🔗 Ver Mapa" display="🔗 Ver Mapa" xr:uid="{00000000-0004-0000-0000-0000EC000000}"/>
    <hyperlink ref="L240" r:id="rId238" tooltip="🔗 Ver Mapa" display="🔗 Ver Mapa" xr:uid="{00000000-0004-0000-0000-0000ED000000}"/>
    <hyperlink ref="L241" r:id="rId239" tooltip="🔗 Ver Mapa" display="🔗 Ver Mapa" xr:uid="{00000000-0004-0000-0000-0000EE000000}"/>
    <hyperlink ref="L242" r:id="rId240" tooltip="🔗 Ver Mapa" display="🔗 Ver Mapa" xr:uid="{00000000-0004-0000-0000-0000EF000000}"/>
    <hyperlink ref="L243" r:id="rId241" tooltip="🔗 Ver Mapa" display="🔗 Ver Mapa" xr:uid="{00000000-0004-0000-0000-0000F0000000}"/>
    <hyperlink ref="L244" r:id="rId242" tooltip="🔗 Ver Mapa" display="🔗 Ver Mapa" xr:uid="{00000000-0004-0000-0000-0000F1000000}"/>
    <hyperlink ref="L245" r:id="rId243" tooltip="🔗 Ver Mapa" display="🔗 Ver Mapa" xr:uid="{00000000-0004-0000-0000-0000F2000000}"/>
    <hyperlink ref="L246" r:id="rId244" tooltip="🔗 Ver Mapa" display="🔗 Ver Mapa" xr:uid="{00000000-0004-0000-0000-0000F3000000}"/>
    <hyperlink ref="L247" r:id="rId245" tooltip="🔗 Ver Mapa" display="🔗 Ver Mapa" xr:uid="{00000000-0004-0000-0000-0000F4000000}"/>
    <hyperlink ref="L248" r:id="rId246" tooltip="🔗 Ver Mapa" display="🔗 Ver Mapa" xr:uid="{00000000-0004-0000-0000-0000F5000000}"/>
    <hyperlink ref="L249" r:id="rId247" tooltip="🔗 Ver Mapa" display="🔗 Ver Mapa" xr:uid="{00000000-0004-0000-0000-0000F6000000}"/>
    <hyperlink ref="L250" r:id="rId248" tooltip="🔗 Ver Mapa" display="🔗 Ver Mapa" xr:uid="{00000000-0004-0000-0000-0000F7000000}"/>
    <hyperlink ref="L251" r:id="rId249" tooltip="🔗 Ver Mapa" display="🔗 Ver Mapa" xr:uid="{00000000-0004-0000-0000-0000F8000000}"/>
    <hyperlink ref="L252" r:id="rId250" tooltip="🔗 Ver Mapa" display="🔗 Ver Mapa" xr:uid="{00000000-0004-0000-0000-0000F9000000}"/>
    <hyperlink ref="L253" r:id="rId251" tooltip="🔗 Ver Mapa" display="🔗 Ver Mapa" xr:uid="{00000000-0004-0000-0000-0000FA000000}"/>
    <hyperlink ref="L254" r:id="rId252" tooltip="🔗 Ver Mapa" display="🔗 Ver Mapa" xr:uid="{00000000-0004-0000-0000-0000FB000000}"/>
    <hyperlink ref="L255" r:id="rId253" tooltip="🔗 Ver Mapa" display="🔗 Ver Mapa" xr:uid="{00000000-0004-0000-0000-0000FC000000}"/>
    <hyperlink ref="L256" r:id="rId254" tooltip="🔗 Ver Mapa" display="🔗 Ver Mapa" xr:uid="{00000000-0004-0000-0000-0000FD000000}"/>
    <hyperlink ref="L257" r:id="rId255" tooltip="🔗 Ver Mapa" display="🔗 Ver Mapa" xr:uid="{00000000-0004-0000-0000-0000FE000000}"/>
    <hyperlink ref="L258" r:id="rId256" tooltip="🔗 Ver Mapa" display="🔗 Ver Mapa" xr:uid="{00000000-0004-0000-0000-0000FF000000}"/>
    <hyperlink ref="L259" r:id="rId257" tooltip="🔗 Ver Mapa" display="🔗 Ver Mapa" xr:uid="{00000000-0004-0000-0000-000000010000}"/>
    <hyperlink ref="L260" r:id="rId258" tooltip="🔗 Ver Mapa" display="🔗 Ver Mapa" xr:uid="{00000000-0004-0000-0000-000001010000}"/>
    <hyperlink ref="L261" r:id="rId259" tooltip="🔗 Ver Mapa" display="🔗 Ver Mapa" xr:uid="{00000000-0004-0000-0000-000002010000}"/>
    <hyperlink ref="L262" r:id="rId260" tooltip="🔗 Ver Mapa" display="🔗 Ver Mapa" xr:uid="{00000000-0004-0000-0000-000003010000}"/>
    <hyperlink ref="L263" r:id="rId261" tooltip="🔗 Ver Mapa" display="🔗 Ver Mapa" xr:uid="{00000000-0004-0000-0000-000004010000}"/>
    <hyperlink ref="L264" r:id="rId262" tooltip="🔗 Ver Mapa" display="🔗 Ver Mapa" xr:uid="{00000000-0004-0000-0000-000005010000}"/>
    <hyperlink ref="L265" r:id="rId263" tooltip="🔗 Ver Mapa" display="🔗 Ver Mapa" xr:uid="{00000000-0004-0000-0000-000006010000}"/>
    <hyperlink ref="L266" r:id="rId264" tooltip="🔗 Ver Mapa" display="🔗 Ver Mapa" xr:uid="{00000000-0004-0000-0000-000007010000}"/>
    <hyperlink ref="L267" r:id="rId265" tooltip="🔗 Ver Mapa" display="🔗 Ver Mapa" xr:uid="{00000000-0004-0000-0000-000008010000}"/>
    <hyperlink ref="L268" r:id="rId266" tooltip="🔗 Ver Mapa" display="🔗 Ver Mapa" xr:uid="{00000000-0004-0000-0000-000009010000}"/>
    <hyperlink ref="L269" r:id="rId267" tooltip="🔗 Ver Mapa" display="🔗 Ver Mapa" xr:uid="{00000000-0004-0000-0000-00000A010000}"/>
    <hyperlink ref="L270" r:id="rId268" tooltip="🔗 Ver Mapa" display="🔗 Ver Mapa" xr:uid="{00000000-0004-0000-0000-00000B010000}"/>
    <hyperlink ref="L271" r:id="rId269" tooltip="🔗 Ver Mapa" display="🔗 Ver Mapa" xr:uid="{00000000-0004-0000-0000-00000C010000}"/>
    <hyperlink ref="L272" r:id="rId270" tooltip="🔗 Ver Mapa" display="🔗 Ver Mapa" xr:uid="{00000000-0004-0000-0000-00000D010000}"/>
    <hyperlink ref="L273" r:id="rId271" tooltip="🔗 Ver Mapa" display="🔗 Ver Mapa" xr:uid="{00000000-0004-0000-0000-00000E010000}"/>
    <hyperlink ref="L274" r:id="rId272" tooltip="🔗 Ver Mapa" display="🔗 Ver Mapa" xr:uid="{00000000-0004-0000-0000-00000F010000}"/>
    <hyperlink ref="L275" r:id="rId273" tooltip="🔗 Ver Mapa" display="🔗 Ver Mapa" xr:uid="{00000000-0004-0000-0000-000010010000}"/>
    <hyperlink ref="L276" r:id="rId274" tooltip="🔗 Ver Mapa" display="🔗 Ver Mapa" xr:uid="{00000000-0004-0000-0000-000011010000}"/>
    <hyperlink ref="L277" r:id="rId275" tooltip="🔗 Ver Mapa" display="🔗 Ver Mapa" xr:uid="{00000000-0004-0000-0000-000012010000}"/>
    <hyperlink ref="L278" r:id="rId276" tooltip="🔗 Ver Mapa" display="🔗 Ver Mapa" xr:uid="{00000000-0004-0000-0000-000013010000}"/>
    <hyperlink ref="L279" r:id="rId277" tooltip="🔗 Ver Mapa" display="🔗 Ver Mapa" xr:uid="{00000000-0004-0000-0000-000014010000}"/>
    <hyperlink ref="L280" r:id="rId278" tooltip="🔗 Ver Mapa" display="🔗 Ver Mapa" xr:uid="{00000000-0004-0000-0000-000015010000}"/>
    <hyperlink ref="L281" r:id="rId279" tooltip="🔗 Ver Mapa" display="🔗 Ver Mapa" xr:uid="{00000000-0004-0000-0000-000016010000}"/>
    <hyperlink ref="L282" r:id="rId280" tooltip="🔗 Ver Mapa" display="🔗 Ver Mapa" xr:uid="{00000000-0004-0000-0000-000017010000}"/>
    <hyperlink ref="L283" r:id="rId281" tooltip="🔗 Ver Mapa" display="🔗 Ver Mapa" xr:uid="{00000000-0004-0000-0000-000018010000}"/>
    <hyperlink ref="L284" r:id="rId282" tooltip="🔗 Ver Mapa" display="🔗 Ver Mapa" xr:uid="{00000000-0004-0000-0000-000019010000}"/>
    <hyperlink ref="L285" r:id="rId283" tooltip="🔗 Ver Mapa" display="🔗 Ver Mapa" xr:uid="{00000000-0004-0000-0000-00001A010000}"/>
    <hyperlink ref="L286" r:id="rId284" tooltip="🔗 Ver Mapa" display="🔗 Ver Mapa" xr:uid="{00000000-0004-0000-0000-00001B010000}"/>
    <hyperlink ref="L287" r:id="rId285" tooltip="🔗 Ver Mapa" display="🔗 Ver Mapa" xr:uid="{00000000-0004-0000-0000-00001C010000}"/>
    <hyperlink ref="L288" r:id="rId286" tooltip="🔗 Ver Mapa" display="🔗 Ver Mapa" xr:uid="{00000000-0004-0000-0000-00001D010000}"/>
    <hyperlink ref="L289" r:id="rId287" tooltip="🔗 Ver Mapa" display="🔗 Ver Mapa" xr:uid="{00000000-0004-0000-0000-00001E010000}"/>
    <hyperlink ref="L290" r:id="rId288" tooltip="🔗 Ver Mapa" display="🔗 Ver Mapa" xr:uid="{00000000-0004-0000-0000-00001F010000}"/>
    <hyperlink ref="L291" r:id="rId289" tooltip="🔗 Ver Mapa" display="🔗 Ver Mapa" xr:uid="{00000000-0004-0000-0000-000020010000}"/>
    <hyperlink ref="L292" r:id="rId290" tooltip="🔗 Ver Mapa" display="🔗 Ver Mapa" xr:uid="{00000000-0004-0000-0000-000021010000}"/>
    <hyperlink ref="L293" r:id="rId291" tooltip="🔗 Ver Mapa" display="🔗 Ver Mapa" xr:uid="{00000000-0004-0000-0000-000022010000}"/>
    <hyperlink ref="L294" r:id="rId292" tooltip="🔗 Ver Mapa" display="🔗 Ver Mapa" xr:uid="{00000000-0004-0000-0000-000023010000}"/>
    <hyperlink ref="L295" r:id="rId293" tooltip="🔗 Ver Mapa" display="🔗 Ver Mapa" xr:uid="{00000000-0004-0000-0000-000024010000}"/>
    <hyperlink ref="L296" r:id="rId294" tooltip="🔗 Ver Mapa" display="🔗 Ver Mapa" xr:uid="{00000000-0004-0000-0000-000025010000}"/>
    <hyperlink ref="L297" r:id="rId295" tooltip="🔗 Ver Mapa" display="🔗 Ver Mapa" xr:uid="{00000000-0004-0000-0000-000026010000}"/>
    <hyperlink ref="L298" r:id="rId296" tooltip="🔗 Ver Mapa" display="🔗 Ver Mapa" xr:uid="{00000000-0004-0000-0000-000027010000}"/>
    <hyperlink ref="L299" r:id="rId297" tooltip="🔗 Ver Mapa" display="🔗 Ver Mapa" xr:uid="{00000000-0004-0000-0000-000028010000}"/>
    <hyperlink ref="L300" r:id="rId298" tooltip="🔗 Ver Mapa" display="🔗 Ver Mapa" xr:uid="{00000000-0004-0000-0000-000029010000}"/>
    <hyperlink ref="L301" r:id="rId299" tooltip="🔗 Ver Mapa" display="🔗 Ver Mapa" xr:uid="{00000000-0004-0000-0000-00002A010000}"/>
    <hyperlink ref="L302" r:id="rId300" tooltip="🔗 Ver Mapa" display="🔗 Ver Mapa" xr:uid="{00000000-0004-0000-0000-00002B010000}"/>
    <hyperlink ref="L303" r:id="rId301" tooltip="🔗 Ver Mapa" display="🔗 Ver Mapa" xr:uid="{00000000-0004-0000-0000-00002C010000}"/>
    <hyperlink ref="L304" r:id="rId302" tooltip="🔗 Ver Mapa" display="🔗 Ver Mapa" xr:uid="{00000000-0004-0000-0000-00002D010000}"/>
    <hyperlink ref="L305" r:id="rId303" tooltip="🔗 Ver Mapa" display="🔗 Ver Mapa" xr:uid="{00000000-0004-0000-0000-00002E010000}"/>
    <hyperlink ref="L306" r:id="rId304" tooltip="🔗 Ver Mapa" display="🔗 Ver Mapa" xr:uid="{00000000-0004-0000-0000-00002F010000}"/>
    <hyperlink ref="L307" r:id="rId305" tooltip="🔗 Ver Mapa" display="🔗 Ver Mapa" xr:uid="{00000000-0004-0000-0000-000030010000}"/>
    <hyperlink ref="L308" r:id="rId306" tooltip="🔗 Ver Mapa" display="🔗 Ver Mapa" xr:uid="{00000000-0004-0000-0000-000031010000}"/>
    <hyperlink ref="L309" r:id="rId307" tooltip="🔗 Ver Mapa" display="🔗 Ver Mapa" xr:uid="{00000000-0004-0000-0000-000032010000}"/>
    <hyperlink ref="L310" r:id="rId308" tooltip="🔗 Ver Mapa" display="🔗 Ver Mapa" xr:uid="{00000000-0004-0000-0000-000033010000}"/>
    <hyperlink ref="L311" r:id="rId309" tooltip="🔗 Ver Mapa" display="🔗 Ver Mapa" xr:uid="{00000000-0004-0000-0000-000034010000}"/>
    <hyperlink ref="L312" r:id="rId310" tooltip="🔗 Ver Mapa" display="🔗 Ver Mapa" xr:uid="{00000000-0004-0000-0000-000035010000}"/>
    <hyperlink ref="L313" r:id="rId311" tooltip="🔗 Ver Mapa" display="🔗 Ver Mapa" xr:uid="{00000000-0004-0000-0000-000036010000}"/>
    <hyperlink ref="L314" r:id="rId312" tooltip="🔗 Ver Mapa" display="🔗 Ver Mapa" xr:uid="{00000000-0004-0000-0000-000037010000}"/>
    <hyperlink ref="L315" r:id="rId313" tooltip="🔗 Ver Mapa" display="🔗 Ver Mapa" xr:uid="{00000000-0004-0000-0000-000038010000}"/>
    <hyperlink ref="L316" r:id="rId314" tooltip="🔗 Ver Mapa" display="🔗 Ver Mapa" xr:uid="{00000000-0004-0000-0000-000039010000}"/>
    <hyperlink ref="L317" r:id="rId315" tooltip="🔗 Ver Mapa" display="🔗 Ver Mapa" xr:uid="{00000000-0004-0000-0000-00003A010000}"/>
    <hyperlink ref="L318" r:id="rId316" tooltip="🔗 Ver Mapa" display="🔗 Ver Mapa" xr:uid="{00000000-0004-0000-0000-00003B010000}"/>
    <hyperlink ref="L319" r:id="rId317" tooltip="🔗 Ver Mapa" display="🔗 Ver Mapa" xr:uid="{00000000-0004-0000-0000-00003C010000}"/>
    <hyperlink ref="L320" r:id="rId318" tooltip="🔗 Ver Mapa" display="🔗 Ver Mapa" xr:uid="{00000000-0004-0000-0000-00003D010000}"/>
    <hyperlink ref="L321" r:id="rId319" tooltip="🔗 Ver Mapa" display="🔗 Ver Mapa" xr:uid="{00000000-0004-0000-0000-00003E010000}"/>
    <hyperlink ref="L322" r:id="rId320" tooltip="🔗 Ver Mapa" display="🔗 Ver Mapa" xr:uid="{00000000-0004-0000-0000-00003F010000}"/>
    <hyperlink ref="L323" r:id="rId321" tooltip="🔗 Ver Mapa" display="🔗 Ver Mapa" xr:uid="{00000000-0004-0000-0000-000040010000}"/>
    <hyperlink ref="L324" r:id="rId322" tooltip="🔗 Ver Mapa" display="🔗 Ver Mapa" xr:uid="{00000000-0004-0000-0000-000041010000}"/>
    <hyperlink ref="L325" r:id="rId323" tooltip="🔗 Ver Mapa" display="🔗 Ver Mapa" xr:uid="{00000000-0004-0000-0000-000042010000}"/>
    <hyperlink ref="L326" r:id="rId324" tooltip="🔗 Ver Mapa" display="🔗 Ver Mapa" xr:uid="{00000000-0004-0000-0000-000043010000}"/>
    <hyperlink ref="L327" r:id="rId325" tooltip="🔗 Ver Mapa" display="🔗 Ver Mapa" xr:uid="{00000000-0004-0000-0000-000044010000}"/>
    <hyperlink ref="L328" r:id="rId326" tooltip="🔗 Ver Mapa" display="🔗 Ver Mapa" xr:uid="{00000000-0004-0000-0000-000045010000}"/>
    <hyperlink ref="L329" r:id="rId327" tooltip="🔗 Ver Mapa" display="🔗 Ver Mapa" xr:uid="{00000000-0004-0000-0000-000046010000}"/>
    <hyperlink ref="L330" r:id="rId328" tooltip="🔗 Ver Mapa" display="🔗 Ver Mapa" xr:uid="{00000000-0004-0000-0000-000047010000}"/>
    <hyperlink ref="L331" r:id="rId329" tooltip="🔗 Ver Mapa" display="🔗 Ver Mapa" xr:uid="{00000000-0004-0000-0000-000048010000}"/>
    <hyperlink ref="L332" r:id="rId330" tooltip="🔗 Ver Mapa" display="🔗 Ver Mapa" xr:uid="{00000000-0004-0000-0000-000049010000}"/>
    <hyperlink ref="L333" r:id="rId331" tooltip="🔗 Ver Mapa" display="🔗 Ver Mapa" xr:uid="{00000000-0004-0000-0000-00004A010000}"/>
    <hyperlink ref="L334" r:id="rId332" tooltip="🔗 Ver Mapa" display="🔗 Ver Mapa" xr:uid="{00000000-0004-0000-0000-00004B010000}"/>
    <hyperlink ref="L335" r:id="rId333" tooltip="🔗 Ver Mapa" display="🔗 Ver Mapa" xr:uid="{00000000-0004-0000-0000-00004C010000}"/>
    <hyperlink ref="L336" r:id="rId334" tooltip="🔗 Ver Mapa" display="🔗 Ver Mapa" xr:uid="{00000000-0004-0000-0000-00004D010000}"/>
    <hyperlink ref="L337" r:id="rId335" tooltip="🔗 Ver Mapa" display="🔗 Ver Mapa" xr:uid="{00000000-0004-0000-0000-00004E010000}"/>
    <hyperlink ref="L338" r:id="rId336" tooltip="🔗 Ver Mapa" display="🔗 Ver Mapa" xr:uid="{00000000-0004-0000-0000-00004F010000}"/>
    <hyperlink ref="L339" r:id="rId337" tooltip="🔗 Ver Mapa" display="🔗 Ver Mapa" xr:uid="{00000000-0004-0000-0000-000050010000}"/>
    <hyperlink ref="L340" r:id="rId338" tooltip="🔗 Ver Mapa" display="🔗 Ver Mapa" xr:uid="{00000000-0004-0000-0000-000051010000}"/>
    <hyperlink ref="L341" r:id="rId339" tooltip="🔗 Ver Mapa" display="🔗 Ver Mapa" xr:uid="{00000000-0004-0000-0000-000052010000}"/>
    <hyperlink ref="L342" r:id="rId340" tooltip="🔗 Ver Mapa" display="🔗 Ver Mapa" xr:uid="{00000000-0004-0000-0000-000053010000}"/>
    <hyperlink ref="L343" r:id="rId341" tooltip="🔗 Ver Mapa" display="🔗 Ver Mapa" xr:uid="{00000000-0004-0000-0000-000054010000}"/>
    <hyperlink ref="L344" r:id="rId342" tooltip="🔗 Ver Mapa" display="🔗 Ver Mapa" xr:uid="{00000000-0004-0000-0000-000055010000}"/>
    <hyperlink ref="L345" r:id="rId343" tooltip="🔗 Ver Mapa" display="🔗 Ver Mapa" xr:uid="{00000000-0004-0000-0000-000056010000}"/>
    <hyperlink ref="L346" r:id="rId344" tooltip="🔗 Ver Mapa" display="🔗 Ver Mapa" xr:uid="{00000000-0004-0000-0000-000057010000}"/>
    <hyperlink ref="L347" r:id="rId345" tooltip="🔗 Ver Mapa" display="🔗 Ver Mapa" xr:uid="{00000000-0004-0000-0000-000058010000}"/>
    <hyperlink ref="L348" r:id="rId346" tooltip="🔗 Ver Mapa" display="🔗 Ver Mapa" xr:uid="{00000000-0004-0000-0000-000059010000}"/>
    <hyperlink ref="L349" r:id="rId347" tooltip="🔗 Ver Mapa" display="🔗 Ver Mapa" xr:uid="{00000000-0004-0000-0000-00005A010000}"/>
    <hyperlink ref="L350" r:id="rId348" tooltip="🔗 Ver Mapa" display="🔗 Ver Mapa" xr:uid="{00000000-0004-0000-0000-00005B010000}"/>
    <hyperlink ref="L351" r:id="rId349" tooltip="🔗 Ver Mapa" display="🔗 Ver Mapa" xr:uid="{00000000-0004-0000-0000-00005C010000}"/>
    <hyperlink ref="L352" r:id="rId350" tooltip="🔗 Ver Mapa" display="🔗 Ver Mapa" xr:uid="{00000000-0004-0000-0000-00005D010000}"/>
    <hyperlink ref="L353" r:id="rId351" tooltip="🔗 Ver Mapa" display="🔗 Ver Mapa" xr:uid="{00000000-0004-0000-0000-00005E010000}"/>
    <hyperlink ref="L354" r:id="rId352" tooltip="🔗 Ver Mapa" display="🔗 Ver Mapa" xr:uid="{00000000-0004-0000-0000-00005F010000}"/>
    <hyperlink ref="L355" r:id="rId353" tooltip="🔗 Ver Mapa" display="🔗 Ver Mapa" xr:uid="{00000000-0004-0000-0000-000060010000}"/>
    <hyperlink ref="L356" r:id="rId354" tooltip="🔗 Ver Mapa" display="🔗 Ver Mapa" xr:uid="{00000000-0004-0000-0000-000061010000}"/>
    <hyperlink ref="L357" r:id="rId355" tooltip="🔗 Ver Mapa" display="🔗 Ver Mapa" xr:uid="{00000000-0004-0000-0000-000062010000}"/>
    <hyperlink ref="L358" r:id="rId356" tooltip="🔗 Ver Mapa" display="🔗 Ver Mapa" xr:uid="{00000000-0004-0000-0000-000063010000}"/>
    <hyperlink ref="L359" r:id="rId357" tooltip="🔗 Ver Mapa" display="🔗 Ver Mapa" xr:uid="{00000000-0004-0000-0000-000064010000}"/>
    <hyperlink ref="L360" r:id="rId358" tooltip="🔗 Ver Mapa" display="🔗 Ver Mapa" xr:uid="{00000000-0004-0000-0000-000065010000}"/>
    <hyperlink ref="L361" r:id="rId359" tooltip="🔗 Ver Mapa" display="🔗 Ver Mapa" xr:uid="{00000000-0004-0000-0000-000066010000}"/>
    <hyperlink ref="L362" r:id="rId360" tooltip="🔗 Ver Mapa" display="🔗 Ver Mapa" xr:uid="{00000000-0004-0000-0000-000067010000}"/>
    <hyperlink ref="L363" r:id="rId361" tooltip="🔗 Ver Mapa" display="🔗 Ver Mapa" xr:uid="{00000000-0004-0000-0000-000068010000}"/>
    <hyperlink ref="L364" r:id="rId362" tooltip="🔗 Ver Mapa" display="🔗 Ver Mapa" xr:uid="{00000000-0004-0000-0000-000069010000}"/>
    <hyperlink ref="L365" r:id="rId363" tooltip="🔗 Ver Mapa" display="🔗 Ver Mapa" xr:uid="{00000000-0004-0000-0000-00006A010000}"/>
    <hyperlink ref="L366" r:id="rId364" tooltip="🔗 Ver Mapa" display="🔗 Ver Mapa" xr:uid="{00000000-0004-0000-0000-00006B010000}"/>
    <hyperlink ref="L367" r:id="rId365" tooltip="🔗 Ver Mapa" display="🔗 Ver Mapa" xr:uid="{00000000-0004-0000-0000-00006C010000}"/>
    <hyperlink ref="L368" r:id="rId366" tooltip="🔗 Ver Mapa" display="🔗 Ver Mapa" xr:uid="{00000000-0004-0000-0000-00006D010000}"/>
    <hyperlink ref="L369" r:id="rId367" tooltip="🔗 Ver Mapa" display="🔗 Ver Mapa" xr:uid="{00000000-0004-0000-0000-00006E010000}"/>
    <hyperlink ref="L370" r:id="rId368" tooltip="🔗 Ver Mapa" display="🔗 Ver Mapa" xr:uid="{00000000-0004-0000-0000-00006F010000}"/>
    <hyperlink ref="L371" r:id="rId369" tooltip="🔗 Ver Mapa" display="🔗 Ver Mapa" xr:uid="{00000000-0004-0000-0000-000070010000}"/>
    <hyperlink ref="L372" r:id="rId370" tooltip="🔗 Ver Mapa" display="🔗 Ver Mapa" xr:uid="{00000000-0004-0000-0000-000071010000}"/>
    <hyperlink ref="L373" r:id="rId371" tooltip="🔗 Ver Mapa" display="🔗 Ver Mapa" xr:uid="{00000000-0004-0000-0000-000072010000}"/>
    <hyperlink ref="L374" r:id="rId372" tooltip="🔗 Ver Mapa" display="🔗 Ver Mapa" xr:uid="{00000000-0004-0000-0000-000073010000}"/>
    <hyperlink ref="L375" r:id="rId373" tooltip="🔗 Ver Mapa" display="🔗 Ver Mapa" xr:uid="{00000000-0004-0000-0000-000074010000}"/>
    <hyperlink ref="L376" r:id="rId374" tooltip="🔗 Ver Mapa" display="🔗 Ver Mapa" xr:uid="{00000000-0004-0000-0000-000075010000}"/>
    <hyperlink ref="L377" r:id="rId375" tooltip="🔗 Ver Mapa" display="🔗 Ver Mapa" xr:uid="{00000000-0004-0000-0000-000076010000}"/>
    <hyperlink ref="L378" r:id="rId376" tooltip="🔗 Ver Mapa" display="🔗 Ver Mapa" xr:uid="{00000000-0004-0000-0000-000077010000}"/>
    <hyperlink ref="L379" r:id="rId377" tooltip="🔗 Ver Mapa" display="🔗 Ver Mapa" xr:uid="{00000000-0004-0000-0000-000078010000}"/>
    <hyperlink ref="L380" r:id="rId378" tooltip="🔗 Ver Mapa" display="🔗 Ver Mapa" xr:uid="{00000000-0004-0000-0000-000079010000}"/>
    <hyperlink ref="L381" r:id="rId379" tooltip="🔗 Ver Mapa" display="🔗 Ver Mapa" xr:uid="{00000000-0004-0000-0000-00007A010000}"/>
    <hyperlink ref="L382" r:id="rId380" tooltip="🔗 Ver Mapa" display="🔗 Ver Mapa" xr:uid="{00000000-0004-0000-0000-00007B010000}"/>
    <hyperlink ref="L383" r:id="rId381" tooltip="🔗 Ver Mapa" display="🔗 Ver Mapa" xr:uid="{00000000-0004-0000-0000-00007C010000}"/>
    <hyperlink ref="L384" r:id="rId382" tooltip="🔗 Ver Mapa" display="🔗 Ver Mapa" xr:uid="{00000000-0004-0000-0000-00007D010000}"/>
    <hyperlink ref="L385" r:id="rId383" tooltip="🔗 Ver Mapa" display="🔗 Ver Mapa" xr:uid="{00000000-0004-0000-0000-00007E010000}"/>
    <hyperlink ref="L386" r:id="rId384" tooltip="🔗 Ver Mapa" display="🔗 Ver Mapa" xr:uid="{00000000-0004-0000-0000-00007F010000}"/>
    <hyperlink ref="L387" r:id="rId385" tooltip="🔗 Ver Mapa" display="🔗 Ver Mapa" xr:uid="{00000000-0004-0000-0000-000080010000}"/>
    <hyperlink ref="L388" r:id="rId386" tooltip="🔗 Ver Mapa" display="🔗 Ver Mapa" xr:uid="{00000000-0004-0000-0000-000081010000}"/>
    <hyperlink ref="L389" r:id="rId387" tooltip="🔗 Ver Mapa" display="🔗 Ver Mapa" xr:uid="{00000000-0004-0000-0000-000082010000}"/>
    <hyperlink ref="L390" r:id="rId388" tooltip="🔗 Ver Mapa" display="🔗 Ver Mapa" xr:uid="{00000000-0004-0000-0000-000083010000}"/>
    <hyperlink ref="L391" r:id="rId389" tooltip="🔗 Ver Mapa" display="🔗 Ver Mapa" xr:uid="{00000000-0004-0000-0000-000084010000}"/>
    <hyperlink ref="L392" r:id="rId390" tooltip="🔗 Ver Mapa" display="🔗 Ver Mapa" xr:uid="{00000000-0004-0000-0000-000085010000}"/>
    <hyperlink ref="L393" r:id="rId391" tooltip="🔗 Ver Mapa" display="🔗 Ver Mapa" xr:uid="{00000000-0004-0000-0000-000086010000}"/>
    <hyperlink ref="L394" r:id="rId392" tooltip="🔗 Ver Mapa" display="🔗 Ver Mapa" xr:uid="{00000000-0004-0000-0000-000087010000}"/>
    <hyperlink ref="L395" r:id="rId393" tooltip="🔗 Ver Mapa" display="🔗 Ver Mapa" xr:uid="{00000000-0004-0000-0000-000088010000}"/>
    <hyperlink ref="L396" r:id="rId394" tooltip="🔗 Ver Mapa" display="🔗 Ver Mapa" xr:uid="{00000000-0004-0000-0000-000089010000}"/>
    <hyperlink ref="L397" r:id="rId395" tooltip="🔗 Ver Mapa" display="🔗 Ver Mapa" xr:uid="{00000000-0004-0000-0000-00008A010000}"/>
    <hyperlink ref="L398" r:id="rId396" tooltip="🔗 Ver Mapa" display="🔗 Ver Mapa" xr:uid="{00000000-0004-0000-0000-00008B010000}"/>
    <hyperlink ref="L399" r:id="rId397" tooltip="🔗 Ver Mapa" display="🔗 Ver Mapa" xr:uid="{00000000-0004-0000-0000-00008C010000}"/>
    <hyperlink ref="L400" r:id="rId398" tooltip="🔗 Ver Mapa" display="🔗 Ver Mapa" xr:uid="{00000000-0004-0000-0000-00008D010000}"/>
    <hyperlink ref="L401" r:id="rId399" tooltip="🔗 Ver Mapa" display="🔗 Ver Mapa" xr:uid="{00000000-0004-0000-0000-00008E010000}"/>
    <hyperlink ref="L402" r:id="rId400" tooltip="🔗 Ver Mapa" display="🔗 Ver Mapa" xr:uid="{00000000-0004-0000-0000-00008F010000}"/>
    <hyperlink ref="L403" r:id="rId401" tooltip="🔗 Ver Mapa" display="🔗 Ver Mapa" xr:uid="{00000000-0004-0000-0000-000090010000}"/>
    <hyperlink ref="L404" r:id="rId402" tooltip="🔗 Ver Mapa" display="🔗 Ver Mapa" xr:uid="{00000000-0004-0000-0000-000091010000}"/>
    <hyperlink ref="L405" r:id="rId403" tooltip="🔗 Ver Mapa" display="🔗 Ver Mapa" xr:uid="{00000000-0004-0000-0000-000092010000}"/>
    <hyperlink ref="L408" r:id="rId404" tooltip="🔗 Ver Mapa" display="🔗 Ver Mapa" xr:uid="{00000000-0004-0000-0000-000093010000}"/>
    <hyperlink ref="L409" r:id="rId405" tooltip="🔗 Ver Mapa" display="🔗 Ver Mapa" xr:uid="{00000000-0004-0000-0000-000094010000}"/>
    <hyperlink ref="L411" r:id="rId406" tooltip="🔗 Ver Mapa" display="🔗 Ver Mapa" xr:uid="{00000000-0004-0000-0000-000095010000}"/>
    <hyperlink ref="L412" r:id="rId407" tooltip="🔗 Ver Mapa" display="🔗 Ver Mapa" xr:uid="{00000000-0004-0000-0000-000096010000}"/>
    <hyperlink ref="L413" r:id="rId408" tooltip="🔗 Ver Mapa" display="🔗 Ver Mapa" xr:uid="{00000000-0004-0000-0000-000097010000}"/>
    <hyperlink ref="L414" r:id="rId409" tooltip="🔗 Ver Mapa" display="🔗 Ver Mapa" xr:uid="{00000000-0004-0000-0000-000098010000}"/>
    <hyperlink ref="L415" r:id="rId410" tooltip="🔗 Ver Mapa" display="🔗 Ver Mapa" xr:uid="{00000000-0004-0000-0000-000099010000}"/>
    <hyperlink ref="L416" r:id="rId411" tooltip="🔗 Ver Mapa" display="🔗 Ver Mapa" xr:uid="{00000000-0004-0000-0000-00009A010000}"/>
    <hyperlink ref="L417" r:id="rId412" tooltip="🔗 Ver Mapa" display="🔗 Ver Mapa" xr:uid="{00000000-0004-0000-0000-00009B010000}"/>
    <hyperlink ref="L418" r:id="rId413" tooltip="🔗 Ver Mapa" display="🔗 Ver Mapa" xr:uid="{00000000-0004-0000-0000-00009C010000}"/>
    <hyperlink ref="L419" r:id="rId414" tooltip="🔗 Ver Mapa" display="🔗 Ver Mapa" xr:uid="{00000000-0004-0000-0000-00009D010000}"/>
    <hyperlink ref="L420" r:id="rId415" tooltip="🔗 Ver Mapa" display="🔗 Ver Mapa" xr:uid="{00000000-0004-0000-0000-00009E010000}"/>
    <hyperlink ref="L421" r:id="rId416" tooltip="🔗 Ver Mapa" display="🔗 Ver Mapa" xr:uid="{00000000-0004-0000-0000-00009F010000}"/>
    <hyperlink ref="L422" r:id="rId417" tooltip="🔗 Ver Mapa" display="🔗 Ver Mapa" xr:uid="{00000000-0004-0000-0000-0000A0010000}"/>
    <hyperlink ref="L424" r:id="rId418" tooltip="🔗 Ver Mapa" display="🔗 Ver Mapa" xr:uid="{00000000-0004-0000-0000-0000A1010000}"/>
    <hyperlink ref="L425" r:id="rId419" tooltip="🔗 Ver Mapa" display="🔗 Ver Mapa" xr:uid="{00000000-0004-0000-0000-0000A2010000}"/>
    <hyperlink ref="L426" r:id="rId420" tooltip="🔗 Ver Mapa" display="🔗 Ver Mapa" xr:uid="{00000000-0004-0000-0000-0000A3010000}"/>
    <hyperlink ref="L428" r:id="rId421" tooltip="🔗 Ver Mapa" display="🔗 Ver Mapa" xr:uid="{00000000-0004-0000-0000-0000A4010000}"/>
    <hyperlink ref="L429" r:id="rId422" tooltip="🔗 Ver Mapa" display="🔗 Ver Mapa" xr:uid="{00000000-0004-0000-0000-0000A5010000}"/>
    <hyperlink ref="L430" r:id="rId423" tooltip="🔗 Ver Mapa" display="🔗 Ver Mapa" xr:uid="{00000000-0004-0000-0000-0000A6010000}"/>
    <hyperlink ref="L431" r:id="rId424" tooltip="🔗 Ver Mapa" display="🔗 Ver Mapa" xr:uid="{00000000-0004-0000-0000-0000A7010000}"/>
    <hyperlink ref="L432" r:id="rId425" tooltip="🔗 Ver Mapa" display="🔗 Ver Mapa" xr:uid="{00000000-0004-0000-0000-0000A8010000}"/>
    <hyperlink ref="L433" r:id="rId426" tooltip="🔗 Ver Mapa" display="🔗 Ver Mapa" xr:uid="{00000000-0004-0000-0000-0000A9010000}"/>
    <hyperlink ref="L434" r:id="rId427" tooltip="🔗 Ver Mapa" display="🔗 Ver Mapa" xr:uid="{00000000-0004-0000-0000-0000AA010000}"/>
    <hyperlink ref="L435" r:id="rId428" tooltip="🔗 Ver Mapa" display="🔗 Ver Mapa" xr:uid="{00000000-0004-0000-0000-0000AB010000}"/>
    <hyperlink ref="L436" r:id="rId429" tooltip="🔗 Ver Mapa" display="🔗 Ver Mapa" xr:uid="{00000000-0004-0000-0000-0000AC010000}"/>
    <hyperlink ref="L437" r:id="rId430" tooltip="🔗 Ver Mapa" display="🔗 Ver Mapa" xr:uid="{00000000-0004-0000-0000-0000AD010000}"/>
    <hyperlink ref="L438" r:id="rId431" tooltip="🔗 Ver Mapa" display="🔗 Ver Mapa" xr:uid="{00000000-0004-0000-0000-0000AE010000}"/>
    <hyperlink ref="L439" r:id="rId432" tooltip="🔗 Ver Mapa" display="🔗 Ver Mapa" xr:uid="{00000000-0004-0000-0000-0000AF010000}"/>
    <hyperlink ref="L440" r:id="rId433" tooltip="🔗 Ver Mapa" display="🔗 Ver Mapa" xr:uid="{00000000-0004-0000-0000-0000B0010000}"/>
    <hyperlink ref="L441" r:id="rId434" tooltip="🔗 Ver Mapa" display="🔗 Ver Mapa" xr:uid="{00000000-0004-0000-0000-0000B1010000}"/>
    <hyperlink ref="L442" r:id="rId435" tooltip="🔗 Ver Mapa" display="🔗 Ver Mapa" xr:uid="{00000000-0004-0000-0000-0000B2010000}"/>
    <hyperlink ref="L443" r:id="rId436" tooltip="🔗 Ver Mapa" display="🔗 Ver Mapa" xr:uid="{00000000-0004-0000-0000-0000B3010000}"/>
    <hyperlink ref="L444" r:id="rId437" tooltip="🔗 Ver Mapa" display="🔗 Ver Mapa" xr:uid="{00000000-0004-0000-0000-0000B4010000}"/>
    <hyperlink ref="L445" r:id="rId438" tooltip="🔗 Ver Mapa" display="🔗 Ver Mapa" xr:uid="{00000000-0004-0000-0000-0000B5010000}"/>
    <hyperlink ref="L446" r:id="rId439" tooltip="🔗 Ver Mapa" display="🔗 Ver Mapa" xr:uid="{00000000-0004-0000-0000-0000B6010000}"/>
    <hyperlink ref="L447" r:id="rId440" tooltip="🔗 Ver Mapa" display="🔗 Ver Mapa" xr:uid="{00000000-0004-0000-0000-0000B7010000}"/>
    <hyperlink ref="L448" r:id="rId441" tooltip="🔗 Ver Mapa" display="🔗 Ver Mapa" xr:uid="{00000000-0004-0000-0000-0000B8010000}"/>
    <hyperlink ref="L449" r:id="rId442" tooltip="🔗 Ver Mapa" display="🔗 Ver Mapa" xr:uid="{00000000-0004-0000-0000-0000B9010000}"/>
    <hyperlink ref="L450" r:id="rId443" tooltip="🔗 Ver Mapa" display="🔗 Ver Mapa" xr:uid="{00000000-0004-0000-0000-0000BA010000}"/>
    <hyperlink ref="L451" r:id="rId444" tooltip="🔗 Ver Mapa" display="🔗 Ver Mapa" xr:uid="{00000000-0004-0000-0000-0000BB010000}"/>
    <hyperlink ref="L453" r:id="rId445" tooltip="🔗 Ver Mapa" display="🔗 Ver Mapa" xr:uid="{00000000-0004-0000-0000-0000BC010000}"/>
    <hyperlink ref="L454" r:id="rId446" tooltip="🔗 Ver Mapa" display="🔗 Ver Mapa" xr:uid="{00000000-0004-0000-0000-0000BD010000}"/>
    <hyperlink ref="L455" r:id="rId447" tooltip="🔗 Ver Mapa" display="🔗 Ver Mapa" xr:uid="{00000000-0004-0000-0000-0000BE010000}"/>
    <hyperlink ref="L456" r:id="rId448" tooltip="🔗 Ver Mapa" display="🔗 Ver Mapa" xr:uid="{00000000-0004-0000-0000-0000BF010000}"/>
    <hyperlink ref="L457" r:id="rId449" tooltip="🔗 Ver Mapa" display="🔗 Ver Mapa" xr:uid="{00000000-0004-0000-0000-0000C0010000}"/>
    <hyperlink ref="L458" r:id="rId450" tooltip="🔗 Ver Mapa" display="🔗 Ver Mapa" xr:uid="{00000000-0004-0000-0000-0000C1010000}"/>
    <hyperlink ref="L459" r:id="rId451" tooltip="🔗 Ver Mapa" display="🔗 Ver Mapa" xr:uid="{00000000-0004-0000-0000-0000C2010000}"/>
    <hyperlink ref="L460" r:id="rId452" tooltip="🔗 Ver Mapa" display="🔗 Ver Mapa" xr:uid="{00000000-0004-0000-0000-0000C3010000}"/>
    <hyperlink ref="L461" r:id="rId453" tooltip="🔗 Ver Mapa" display="🔗 Ver Mapa" xr:uid="{00000000-0004-0000-0000-0000C4010000}"/>
    <hyperlink ref="L462" r:id="rId454" tooltip="🔗 Ver Mapa" display="🔗 Ver Mapa" xr:uid="{00000000-0004-0000-0000-0000C5010000}"/>
    <hyperlink ref="L464" r:id="rId455" tooltip="🔗 Ver Mapa" display="🔗 Ver Mapa" xr:uid="{00000000-0004-0000-0000-0000C6010000}"/>
    <hyperlink ref="L465" r:id="rId456" tooltip="🔗 Ver Mapa" display="🔗 Ver Mapa" xr:uid="{00000000-0004-0000-0000-0000C7010000}"/>
    <hyperlink ref="L466" r:id="rId457" tooltip="🔗 Ver Mapa" display="🔗 Ver Mapa" xr:uid="{00000000-0004-0000-0000-0000C8010000}"/>
    <hyperlink ref="L467" r:id="rId458" tooltip="🔗 Ver Mapa" display="🔗 Ver Mapa" xr:uid="{00000000-0004-0000-0000-0000C9010000}"/>
    <hyperlink ref="L468" r:id="rId459" tooltip="🔗 Ver Mapa" display="🔗 Ver Mapa" xr:uid="{00000000-0004-0000-0000-0000CA010000}"/>
    <hyperlink ref="L470" r:id="rId460" tooltip="🔗 Ver Mapa" display="🔗 Ver Mapa" xr:uid="{00000000-0004-0000-0000-0000CB010000}"/>
    <hyperlink ref="L471" r:id="rId461" tooltip="🔗 Ver Mapa" display="🔗 Ver Mapa" xr:uid="{00000000-0004-0000-0000-0000CC010000}"/>
    <hyperlink ref="L472" r:id="rId462" tooltip="🔗 Ver Mapa" display="🔗 Ver Mapa" xr:uid="{00000000-0004-0000-0000-0000CD010000}"/>
    <hyperlink ref="L473" r:id="rId463" tooltip="🔗 Ver Mapa" display="🔗 Ver Mapa" xr:uid="{00000000-0004-0000-0000-0000CE010000}"/>
    <hyperlink ref="L474" r:id="rId464" tooltip="🔗 Ver Mapa" display="🔗 Ver Mapa" xr:uid="{00000000-0004-0000-0000-0000CF010000}"/>
    <hyperlink ref="L475" r:id="rId465" tooltip="🔗 Ver Mapa" display="🔗 Ver Mapa" xr:uid="{00000000-0004-0000-0000-0000D0010000}"/>
    <hyperlink ref="L476" r:id="rId466" tooltip="🔗 Ver Mapa" display="🔗 Ver Mapa" xr:uid="{00000000-0004-0000-0000-0000D1010000}"/>
    <hyperlink ref="L477" r:id="rId467" tooltip="🔗 Ver Mapa" display="🔗 Ver Mapa" xr:uid="{00000000-0004-0000-0000-0000D2010000}"/>
    <hyperlink ref="L478" r:id="rId468" tooltip="🔗 Ver Mapa" display="🔗 Ver Mapa" xr:uid="{00000000-0004-0000-0000-0000D3010000}"/>
    <hyperlink ref="L479" r:id="rId469" tooltip="🔗 Ver Mapa" display="🔗 Ver Mapa" xr:uid="{00000000-0004-0000-0000-0000D4010000}"/>
    <hyperlink ref="L480" r:id="rId470" tooltip="🔗 Ver Mapa" display="🔗 Ver Mapa" xr:uid="{00000000-0004-0000-0000-0000D5010000}"/>
    <hyperlink ref="L481" r:id="rId471" tooltip="🔗 Ver Mapa" display="🔗 Ver Mapa" xr:uid="{00000000-0004-0000-0000-0000D6010000}"/>
    <hyperlink ref="L482" r:id="rId472" tooltip="🔗 Ver Mapa" display="🔗 Ver Mapa" xr:uid="{00000000-0004-0000-0000-0000D7010000}"/>
    <hyperlink ref="L483" r:id="rId473" tooltip="🔗 Ver Mapa" display="🔗 Ver Mapa" xr:uid="{00000000-0004-0000-0000-0000D8010000}"/>
    <hyperlink ref="L484" r:id="rId474" tooltip="🔗 Ver Mapa" display="🔗 Ver Mapa" xr:uid="{00000000-0004-0000-0000-0000D9010000}"/>
    <hyperlink ref="L485" r:id="rId475" tooltip="🔗 Ver Mapa" display="🔗 Ver Mapa" xr:uid="{00000000-0004-0000-0000-0000DA010000}"/>
    <hyperlink ref="L486" r:id="rId476" tooltip="🔗 Ver Mapa" display="🔗 Ver Mapa" xr:uid="{00000000-0004-0000-0000-0000DB010000}"/>
    <hyperlink ref="L489" r:id="rId477" tooltip="🔗 Ver Mapa" display="🔗 Ver Mapa" xr:uid="{00000000-0004-0000-0000-0000DC010000}"/>
    <hyperlink ref="L490" r:id="rId478" tooltip="🔗 Ver Mapa" display="🔗 Ver Mapa" xr:uid="{00000000-0004-0000-0000-0000DD010000}"/>
    <hyperlink ref="L491" r:id="rId479" tooltip="🔗 Ver Mapa" display="🔗 Ver Mapa" xr:uid="{00000000-0004-0000-0000-0000DE010000}"/>
    <hyperlink ref="L492" r:id="rId480" tooltip="🔗 Ver Mapa" display="🔗 Ver Mapa" xr:uid="{00000000-0004-0000-0000-0000DF010000}"/>
    <hyperlink ref="L493" r:id="rId481" tooltip="🔗 Ver Mapa" display="🔗 Ver Mapa" xr:uid="{00000000-0004-0000-0000-0000E0010000}"/>
    <hyperlink ref="L494" r:id="rId482" tooltip="🔗 Ver Mapa" display="🔗 Ver Mapa" xr:uid="{00000000-0004-0000-0000-0000E1010000}"/>
    <hyperlink ref="L495" r:id="rId483" tooltip="🔗 Ver Mapa" display="🔗 Ver Mapa" xr:uid="{00000000-0004-0000-0000-0000E2010000}"/>
    <hyperlink ref="L496" r:id="rId484" tooltip="🔗 Ver Mapa" display="🔗 Ver Mapa" xr:uid="{00000000-0004-0000-0000-0000E3010000}"/>
    <hyperlink ref="L498" r:id="rId485" tooltip="🔗 Ver Mapa" display="🔗 Ver Mapa" xr:uid="{00000000-0004-0000-0000-0000E4010000}"/>
    <hyperlink ref="L499" r:id="rId486" tooltip="🔗 Ver Mapa" display="🔗 Ver Mapa" xr:uid="{00000000-0004-0000-0000-0000E5010000}"/>
    <hyperlink ref="L500" r:id="rId487" tooltip="🔗 Ver Mapa" display="🔗 Ver Mapa" xr:uid="{00000000-0004-0000-0000-0000E6010000}"/>
    <hyperlink ref="L501" r:id="rId488" tooltip="🔗 Ver Mapa" display="🔗 Ver Mapa" xr:uid="{00000000-0004-0000-0000-0000E7010000}"/>
    <hyperlink ref="L502" r:id="rId489" tooltip="🔗 Ver Mapa" display="🔗 Ver Mapa" xr:uid="{00000000-0004-0000-0000-0000E8010000}"/>
    <hyperlink ref="L503" r:id="rId490" tooltip="🔗 Ver Mapa" display="🔗 Ver Mapa" xr:uid="{00000000-0004-0000-0000-0000E9010000}"/>
    <hyperlink ref="L504" r:id="rId491" tooltip="🔗 Ver Mapa" display="🔗 Ver Mapa" xr:uid="{00000000-0004-0000-0000-0000EA010000}"/>
    <hyperlink ref="L505" r:id="rId492" tooltip="🔗 Ver Mapa" display="🔗 Ver Mapa" xr:uid="{00000000-0004-0000-0000-0000EB010000}"/>
    <hyperlink ref="L506" r:id="rId493" tooltip="🔗 Ver Mapa" display="🔗 Ver Mapa" xr:uid="{00000000-0004-0000-0000-0000EC010000}"/>
    <hyperlink ref="L507" r:id="rId494" tooltip="🔗 Ver Mapa" display="🔗 Ver Mapa" xr:uid="{00000000-0004-0000-0000-0000ED010000}"/>
    <hyperlink ref="L508" r:id="rId495" tooltip="🔗 Ver Mapa" display="🔗 Ver Mapa" xr:uid="{00000000-0004-0000-0000-0000EE010000}"/>
    <hyperlink ref="L509" r:id="rId496" tooltip="🔗 Ver Mapa" display="🔗 Ver Mapa" xr:uid="{00000000-0004-0000-0000-0000EF010000}"/>
    <hyperlink ref="L510" r:id="rId497" tooltip="🔗 Ver Mapa" display="🔗 Ver Mapa" xr:uid="{00000000-0004-0000-0000-0000F0010000}"/>
    <hyperlink ref="L511" r:id="rId498" tooltip="🔗 Ver Mapa" display="🔗 Ver Mapa" xr:uid="{00000000-0004-0000-0000-0000F1010000}"/>
    <hyperlink ref="L512" r:id="rId499" tooltip="🔗 Ver Mapa" display="🔗 Ver Mapa" xr:uid="{00000000-0004-0000-0000-0000F2010000}"/>
    <hyperlink ref="L513" r:id="rId500" tooltip="🔗 Ver Mapa" display="🔗 Ver Mapa" xr:uid="{00000000-0004-0000-0000-0000F3010000}"/>
    <hyperlink ref="L514" r:id="rId501" tooltip="🔗 Ver Mapa" display="🔗 Ver Mapa" xr:uid="{00000000-0004-0000-0000-0000F4010000}"/>
    <hyperlink ref="L515" r:id="rId502" tooltip="🔗 Ver Mapa" display="🔗 Ver Mapa" xr:uid="{00000000-0004-0000-0000-0000F5010000}"/>
    <hyperlink ref="L516" r:id="rId503" tooltip="🔗 Ver Mapa" display="🔗 Ver Mapa" xr:uid="{00000000-0004-0000-0000-0000F6010000}"/>
    <hyperlink ref="L518" r:id="rId504" tooltip="🔗 Ver Mapa" display="🔗 Ver Mapa" xr:uid="{00000000-0004-0000-0000-0000F7010000}"/>
    <hyperlink ref="L519" r:id="rId505" tooltip="🔗 Ver Mapa" display="🔗 Ver Mapa" xr:uid="{00000000-0004-0000-0000-0000F8010000}"/>
    <hyperlink ref="L520" r:id="rId506" tooltip="🔗 Ver Mapa" display="🔗 Ver Mapa" xr:uid="{00000000-0004-0000-0000-0000F9010000}"/>
    <hyperlink ref="L521" r:id="rId507" tooltip="🔗 Ver Mapa" display="🔗 Ver Mapa" xr:uid="{00000000-0004-0000-0000-0000FA010000}"/>
    <hyperlink ref="L522" r:id="rId508" tooltip="🔗 Ver Mapa" display="🔗 Ver Mapa" xr:uid="{00000000-0004-0000-0000-0000FB010000}"/>
    <hyperlink ref="L523" r:id="rId509" tooltip="🔗 Ver Mapa" display="🔗 Ver Mapa" xr:uid="{00000000-0004-0000-0000-0000FC010000}"/>
    <hyperlink ref="L524" r:id="rId510" tooltip="🔗 Ver Mapa" display="🔗 Ver Mapa" xr:uid="{00000000-0004-0000-0000-0000FD010000}"/>
    <hyperlink ref="L525" r:id="rId511" tooltip="🔗 Ver Mapa" display="🔗 Ver Mapa" xr:uid="{00000000-0004-0000-0000-0000FE010000}"/>
    <hyperlink ref="L526" r:id="rId512" tooltip="🔗 Ver Mapa" display="🔗 Ver Mapa" xr:uid="{00000000-0004-0000-0000-0000FF010000}"/>
    <hyperlink ref="L527" r:id="rId513" tooltip="🔗 Ver Mapa" display="🔗 Ver Mapa" xr:uid="{00000000-0004-0000-0000-000000020000}"/>
    <hyperlink ref="L528" r:id="rId514" tooltip="🔗 Ver Mapa" display="🔗 Ver Mapa" xr:uid="{00000000-0004-0000-0000-000001020000}"/>
    <hyperlink ref="L529" r:id="rId515" tooltip="🔗 Ver Mapa" display="🔗 Ver Mapa" xr:uid="{00000000-0004-0000-0000-000002020000}"/>
    <hyperlink ref="L530" r:id="rId516" tooltip="🔗 Ver Mapa" display="🔗 Ver Mapa" xr:uid="{00000000-0004-0000-0000-000003020000}"/>
    <hyperlink ref="L531" r:id="rId517" tooltip="🔗 Ver Mapa" display="🔗 Ver Mapa" xr:uid="{00000000-0004-0000-0000-000004020000}"/>
    <hyperlink ref="L532" r:id="rId518" tooltip="🔗 Ver Mapa" display="🔗 Ver Mapa" xr:uid="{00000000-0004-0000-0000-000005020000}"/>
    <hyperlink ref="L533" r:id="rId519" tooltip="🔗 Ver Mapa" display="🔗 Ver Mapa" xr:uid="{00000000-0004-0000-0000-000006020000}"/>
    <hyperlink ref="L534" r:id="rId520" tooltip="🔗 Ver Mapa" display="🔗 Ver Mapa" xr:uid="{00000000-0004-0000-0000-000007020000}"/>
    <hyperlink ref="L535" r:id="rId521" tooltip="🔗 Ver Mapa" display="🔗 Ver Mapa" xr:uid="{00000000-0004-0000-0000-000008020000}"/>
    <hyperlink ref="L536" r:id="rId522" tooltip="🔗 Ver Mapa" display="🔗 Ver Mapa" xr:uid="{00000000-0004-0000-0000-000009020000}"/>
    <hyperlink ref="L537" r:id="rId523" tooltip="🔗 Ver Mapa" display="🔗 Ver Mapa" xr:uid="{00000000-0004-0000-0000-00000A020000}"/>
    <hyperlink ref="L538" r:id="rId524" tooltip="🔗 Ver Mapa" display="🔗 Ver Mapa" xr:uid="{00000000-0004-0000-0000-00000B020000}"/>
    <hyperlink ref="L539" r:id="rId525" tooltip="🔗 Ver Mapa" display="🔗 Ver Mapa" xr:uid="{00000000-0004-0000-0000-00000C020000}"/>
    <hyperlink ref="L540" r:id="rId526" tooltip="🔗 Ver Mapa" display="🔗 Ver Mapa" xr:uid="{00000000-0004-0000-0000-00000D020000}"/>
    <hyperlink ref="L541" r:id="rId527" tooltip="🔗 Ver Mapa" display="🔗 Ver Mapa" xr:uid="{00000000-0004-0000-0000-00000E020000}"/>
    <hyperlink ref="L542" r:id="rId528" tooltip="🔗 Ver Mapa" display="🔗 Ver Mapa" xr:uid="{00000000-0004-0000-0000-00000F020000}"/>
    <hyperlink ref="L543" r:id="rId529" tooltip="🔗 Ver Mapa" display="🔗 Ver Mapa" xr:uid="{00000000-0004-0000-0000-000010020000}"/>
    <hyperlink ref="L544" r:id="rId530" tooltip="🔗 Ver Mapa" display="🔗 Ver Mapa" xr:uid="{00000000-0004-0000-0000-000011020000}"/>
    <hyperlink ref="L545" r:id="rId531" tooltip="🔗 Ver Mapa" display="🔗 Ver Mapa" xr:uid="{00000000-0004-0000-0000-000012020000}"/>
    <hyperlink ref="L546" r:id="rId532" tooltip="🔗 Ver Mapa" display="🔗 Ver Mapa" xr:uid="{00000000-0004-0000-0000-000013020000}"/>
    <hyperlink ref="L547" r:id="rId533" tooltip="🔗 Ver Mapa" display="🔗 Ver Mapa" xr:uid="{00000000-0004-0000-0000-000014020000}"/>
    <hyperlink ref="L548" r:id="rId534" tooltip="🔗 Ver Mapa" display="🔗 Ver Mapa" xr:uid="{00000000-0004-0000-0000-000015020000}"/>
    <hyperlink ref="L549" r:id="rId535" tooltip="🔗 Ver Mapa" display="🔗 Ver Mapa" xr:uid="{00000000-0004-0000-0000-000016020000}"/>
    <hyperlink ref="L550" r:id="rId536" tooltip="🔗 Ver Mapa" display="🔗 Ver Mapa" xr:uid="{00000000-0004-0000-0000-000017020000}"/>
    <hyperlink ref="L551" r:id="rId537" tooltip="🔗 Ver Mapa" display="🔗 Ver Mapa" xr:uid="{00000000-0004-0000-0000-000018020000}"/>
    <hyperlink ref="L552" r:id="rId538" tooltip="🔗 Ver Mapa" display="🔗 Ver Mapa" xr:uid="{00000000-0004-0000-0000-000019020000}"/>
    <hyperlink ref="L553" r:id="rId539" tooltip="🔗 Ver Mapa" display="🔗 Ver Mapa" xr:uid="{00000000-0004-0000-0000-00001A020000}"/>
    <hyperlink ref="L554" r:id="rId540" tooltip="🔗 Ver Mapa" display="🔗 Ver Mapa" xr:uid="{00000000-0004-0000-0000-00001B020000}"/>
    <hyperlink ref="L555" r:id="rId541" tooltip="🔗 Ver Mapa" display="🔗 Ver Mapa" xr:uid="{00000000-0004-0000-0000-00001C020000}"/>
    <hyperlink ref="L556" r:id="rId542" tooltip="🔗 Ver Mapa" display="🔗 Ver Mapa" xr:uid="{00000000-0004-0000-0000-00001D020000}"/>
    <hyperlink ref="L557" r:id="rId543" tooltip="🔗 Ver Mapa" display="🔗 Ver Mapa" xr:uid="{00000000-0004-0000-0000-00001E020000}"/>
    <hyperlink ref="L558" r:id="rId544" tooltip="🔗 Ver Mapa" display="🔗 Ver Mapa" xr:uid="{00000000-0004-0000-0000-00001F020000}"/>
    <hyperlink ref="L559" r:id="rId545" tooltip="🔗 Ver Mapa" display="🔗 Ver Mapa" xr:uid="{00000000-0004-0000-0000-000020020000}"/>
    <hyperlink ref="L560" r:id="rId546" tooltip="🔗 Ver Mapa" display="🔗 Ver Mapa" xr:uid="{00000000-0004-0000-0000-000021020000}"/>
    <hyperlink ref="L561" r:id="rId547" tooltip="🔗 Ver Mapa" display="🔗 Ver Mapa" xr:uid="{00000000-0004-0000-0000-000022020000}"/>
    <hyperlink ref="L562" r:id="rId548" tooltip="🔗 Ver Mapa" display="🔗 Ver Mapa" xr:uid="{00000000-0004-0000-0000-000023020000}"/>
    <hyperlink ref="L563" r:id="rId549" tooltip="🔗 Ver Mapa" display="🔗 Ver Mapa" xr:uid="{00000000-0004-0000-0000-000024020000}"/>
    <hyperlink ref="L564" r:id="rId550" tooltip="🔗 Ver Mapa" display="🔗 Ver Mapa" xr:uid="{00000000-0004-0000-0000-000025020000}"/>
    <hyperlink ref="L565" r:id="rId551" tooltip="🔗 Ver Mapa" display="🔗 Ver Mapa" xr:uid="{00000000-0004-0000-0000-000026020000}"/>
    <hyperlink ref="L566" r:id="rId552" tooltip="🔗 Ver Mapa" display="🔗 Ver Mapa" xr:uid="{00000000-0004-0000-0000-000027020000}"/>
    <hyperlink ref="L567" r:id="rId553" tooltip="🔗 Ver Mapa" display="🔗 Ver Mapa" xr:uid="{00000000-0004-0000-0000-000028020000}"/>
    <hyperlink ref="L568" r:id="rId554" tooltip="🔗 Ver Mapa" display="🔗 Ver Mapa" xr:uid="{00000000-0004-0000-0000-000029020000}"/>
    <hyperlink ref="L569" r:id="rId555" tooltip="🔗 Ver Mapa" display="🔗 Ver Mapa" xr:uid="{00000000-0004-0000-0000-00002A020000}"/>
    <hyperlink ref="L570" r:id="rId556" tooltip="🔗 Ver Mapa" display="🔗 Ver Mapa" xr:uid="{00000000-0004-0000-0000-00002B020000}"/>
    <hyperlink ref="L571" r:id="rId557" tooltip="🔗 Ver Mapa" display="🔗 Ver Mapa" xr:uid="{00000000-0004-0000-0000-00002C020000}"/>
    <hyperlink ref="L572" r:id="rId558" tooltip="🔗 Ver Mapa" display="🔗 Ver Mapa" xr:uid="{00000000-0004-0000-0000-00002D020000}"/>
    <hyperlink ref="L573" r:id="rId559" tooltip="🔗 Ver Mapa" display="🔗 Ver Mapa" xr:uid="{00000000-0004-0000-0000-00002E020000}"/>
    <hyperlink ref="L574" r:id="rId560" tooltip="🔗 Ver Mapa" display="🔗 Ver Mapa" xr:uid="{00000000-0004-0000-0000-00002F020000}"/>
    <hyperlink ref="L575" r:id="rId561" tooltip="🔗 Ver Mapa" display="🔗 Ver Mapa" xr:uid="{00000000-0004-0000-0000-000030020000}"/>
    <hyperlink ref="L576" r:id="rId562" tooltip="🔗 Ver Mapa" display="🔗 Ver Mapa" xr:uid="{00000000-0004-0000-0000-000031020000}"/>
    <hyperlink ref="L577" r:id="rId563" tooltip="🔗 Ver Mapa" display="🔗 Ver Mapa" xr:uid="{00000000-0004-0000-0000-000032020000}"/>
    <hyperlink ref="L578" r:id="rId564" tooltip="🔗 Ver Mapa" display="🔗 Ver Mapa" xr:uid="{00000000-0004-0000-0000-000033020000}"/>
    <hyperlink ref="L579" r:id="rId565" tooltip="🔗 Ver Mapa" display="🔗 Ver Mapa" xr:uid="{00000000-0004-0000-0000-000034020000}"/>
    <hyperlink ref="L580" r:id="rId566" tooltip="🔗 Ver Mapa" display="🔗 Ver Mapa" xr:uid="{00000000-0004-0000-0000-000035020000}"/>
    <hyperlink ref="L581" r:id="rId567" tooltip="🔗 Ver Mapa" display="🔗 Ver Mapa" xr:uid="{00000000-0004-0000-0000-000036020000}"/>
    <hyperlink ref="L582" r:id="rId568" tooltip="🔗 Ver Mapa" display="🔗 Ver Mapa" xr:uid="{00000000-0004-0000-0000-000037020000}"/>
    <hyperlink ref="L583" r:id="rId569" tooltip="🔗 Ver Mapa" display="🔗 Ver Mapa" xr:uid="{00000000-0004-0000-0000-000038020000}"/>
    <hyperlink ref="L584" r:id="rId570" tooltip="🔗 Ver Mapa" display="🔗 Ver Mapa" xr:uid="{00000000-0004-0000-0000-000039020000}"/>
    <hyperlink ref="L585" r:id="rId571" tooltip="🔗 Ver Mapa" display="🔗 Ver Mapa" xr:uid="{00000000-0004-0000-0000-00003A020000}"/>
    <hyperlink ref="L586" r:id="rId572" tooltip="🔗 Ver Mapa" display="🔗 Ver Mapa" xr:uid="{00000000-0004-0000-0000-00003B020000}"/>
    <hyperlink ref="L587" r:id="rId573" tooltip="🔗 Ver Mapa" display="🔗 Ver Mapa" xr:uid="{00000000-0004-0000-0000-00003C020000}"/>
    <hyperlink ref="L588" r:id="rId574" tooltip="🔗 Ver Mapa" display="🔗 Ver Mapa" xr:uid="{00000000-0004-0000-0000-00003D020000}"/>
    <hyperlink ref="L589" r:id="rId575" tooltip="🔗 Ver Mapa" display="🔗 Ver Mapa" xr:uid="{00000000-0004-0000-0000-00003E020000}"/>
    <hyperlink ref="L590" r:id="rId576" tooltip="🔗 Ver Mapa" display="🔗 Ver Mapa" xr:uid="{00000000-0004-0000-0000-00003F020000}"/>
    <hyperlink ref="L591" r:id="rId577" tooltip="🔗 Ver Mapa" display="🔗 Ver Mapa" xr:uid="{00000000-0004-0000-0000-000040020000}"/>
    <hyperlink ref="L592" r:id="rId578" tooltip="🔗 Ver Mapa" display="🔗 Ver Mapa" xr:uid="{00000000-0004-0000-0000-000041020000}"/>
    <hyperlink ref="L593" r:id="rId579" tooltip="🔗 Ver Mapa" display="🔗 Ver Mapa" xr:uid="{00000000-0004-0000-0000-000042020000}"/>
    <hyperlink ref="L594" r:id="rId580" tooltip="🔗 Ver Mapa" display="🔗 Ver Mapa" xr:uid="{00000000-0004-0000-0000-000043020000}"/>
    <hyperlink ref="L595" r:id="rId581" tooltip="🔗 Ver Mapa" display="🔗 Ver Mapa" xr:uid="{00000000-0004-0000-0000-000044020000}"/>
    <hyperlink ref="L596" r:id="rId582" tooltip="🔗 Ver Mapa" display="🔗 Ver Mapa" xr:uid="{00000000-0004-0000-0000-000045020000}"/>
    <hyperlink ref="L597" r:id="rId583" tooltip="🔗 Ver Mapa" display="🔗 Ver Mapa" xr:uid="{00000000-0004-0000-0000-000046020000}"/>
    <hyperlink ref="L598" r:id="rId584" tooltip="🔗 Ver Mapa" display="🔗 Ver Mapa" xr:uid="{00000000-0004-0000-0000-000047020000}"/>
    <hyperlink ref="L599" r:id="rId585" tooltip="🔗 Ver Mapa" display="🔗 Ver Mapa" xr:uid="{00000000-0004-0000-0000-000048020000}"/>
    <hyperlink ref="L600" r:id="rId586" tooltip="🔗 Ver Mapa" display="🔗 Ver Mapa" xr:uid="{00000000-0004-0000-0000-000049020000}"/>
    <hyperlink ref="L601" r:id="rId587" tooltip="🔗 Ver Mapa" display="🔗 Ver Mapa" xr:uid="{00000000-0004-0000-0000-00004A020000}"/>
    <hyperlink ref="L602" r:id="rId588" tooltip="🔗 Ver Mapa" display="🔗 Ver Mapa" xr:uid="{00000000-0004-0000-0000-00004B020000}"/>
    <hyperlink ref="L603" r:id="rId589" tooltip="🔗 Ver Mapa" display="🔗 Ver Mapa" xr:uid="{00000000-0004-0000-0000-00004C020000}"/>
    <hyperlink ref="L604" r:id="rId590" tooltip="🔗 Ver Mapa" display="🔗 Ver Mapa" xr:uid="{00000000-0004-0000-0000-00004D020000}"/>
    <hyperlink ref="L605" r:id="rId591" tooltip="🔗 Ver Mapa" display="🔗 Ver Mapa" xr:uid="{00000000-0004-0000-0000-00004E020000}"/>
    <hyperlink ref="L606" r:id="rId592" tooltip="🔗 Ver Mapa" display="🔗 Ver Mapa" xr:uid="{00000000-0004-0000-0000-00004F020000}"/>
    <hyperlink ref="L607" r:id="rId593" tooltip="🔗 Ver Mapa" display="🔗 Ver Mapa" xr:uid="{00000000-0004-0000-0000-000050020000}"/>
    <hyperlink ref="L608" r:id="rId594" tooltip="🔗 Ver Mapa" display="🔗 Ver Mapa" xr:uid="{00000000-0004-0000-0000-000051020000}"/>
    <hyperlink ref="L609" r:id="rId595" tooltip="🔗 Ver Mapa" display="🔗 Ver Mapa" xr:uid="{00000000-0004-0000-0000-000052020000}"/>
    <hyperlink ref="L610" r:id="rId596" tooltip="🔗 Ver Mapa" display="🔗 Ver Mapa" xr:uid="{00000000-0004-0000-0000-000053020000}"/>
    <hyperlink ref="L611" r:id="rId597" tooltip="🔗 Ver Mapa" display="🔗 Ver Mapa" xr:uid="{00000000-0004-0000-0000-000054020000}"/>
    <hyperlink ref="L612" r:id="rId598" tooltip="🔗 Ver Mapa" display="🔗 Ver Mapa" xr:uid="{00000000-0004-0000-0000-000055020000}"/>
    <hyperlink ref="L613" r:id="rId599" tooltip="🔗 Ver Mapa" display="🔗 Ver Mapa" xr:uid="{00000000-0004-0000-0000-000056020000}"/>
    <hyperlink ref="L614" r:id="rId600" tooltip="🔗 Ver Mapa" display="🔗 Ver Mapa" xr:uid="{00000000-0004-0000-0000-000057020000}"/>
    <hyperlink ref="L615" r:id="rId601" tooltip="🔗 Ver Mapa" display="🔗 Ver Mapa" xr:uid="{00000000-0004-0000-0000-000058020000}"/>
    <hyperlink ref="L616" r:id="rId602" tooltip="🔗 Ver Mapa" display="🔗 Ver Mapa" xr:uid="{00000000-0004-0000-0000-000059020000}"/>
    <hyperlink ref="L617" r:id="rId603" tooltip="🔗 Ver Mapa" display="🔗 Ver Mapa" xr:uid="{00000000-0004-0000-0000-00005A020000}"/>
    <hyperlink ref="L618" r:id="rId604" tooltip="🔗 Ver Mapa" display="🔗 Ver Mapa" xr:uid="{00000000-0004-0000-0000-00005B020000}"/>
    <hyperlink ref="L619" r:id="rId605" tooltip="🔗 Ver Mapa" display="🔗 Ver Mapa" xr:uid="{00000000-0004-0000-0000-00005C020000}"/>
    <hyperlink ref="L620" r:id="rId606" tooltip="🔗 Ver Mapa" display="🔗 Ver Mapa" xr:uid="{00000000-0004-0000-0000-00005D020000}"/>
    <hyperlink ref="L621" r:id="rId607" tooltip="🔗 Ver Mapa" display="🔗 Ver Mapa" xr:uid="{00000000-0004-0000-0000-00005E020000}"/>
    <hyperlink ref="L622" r:id="rId608" tooltip="🔗 Ver Mapa" display="🔗 Ver Mapa" xr:uid="{00000000-0004-0000-0000-00005F020000}"/>
    <hyperlink ref="L623" r:id="rId609" tooltip="🔗 Ver Mapa" display="🔗 Ver Mapa" xr:uid="{00000000-0004-0000-0000-000060020000}"/>
    <hyperlink ref="L624" r:id="rId610" tooltip="🔗 Ver Mapa" display="🔗 Ver Mapa" xr:uid="{00000000-0004-0000-0000-000061020000}"/>
    <hyperlink ref="L625" r:id="rId611" tooltip="🔗 Ver Mapa" display="🔗 Ver Mapa" xr:uid="{00000000-0004-0000-0000-000062020000}"/>
    <hyperlink ref="L626" r:id="rId612" tooltip="🔗 Ver Mapa" display="🔗 Ver Mapa" xr:uid="{00000000-0004-0000-0000-000063020000}"/>
    <hyperlink ref="L627" r:id="rId613" tooltip="🔗 Ver Mapa" display="🔗 Ver Mapa" xr:uid="{00000000-0004-0000-0000-000064020000}"/>
    <hyperlink ref="L628" r:id="rId614" tooltip="🔗 Ver Mapa" display="🔗 Ver Mapa" xr:uid="{00000000-0004-0000-0000-000065020000}"/>
    <hyperlink ref="L629" r:id="rId615" tooltip="🔗 Ver Mapa" display="🔗 Ver Mapa" xr:uid="{00000000-0004-0000-0000-000066020000}"/>
    <hyperlink ref="L630" r:id="rId616" tooltip="🔗 Ver Mapa" display="🔗 Ver Mapa" xr:uid="{00000000-0004-0000-0000-000067020000}"/>
    <hyperlink ref="L631" r:id="rId617" tooltip="🔗 Ver Mapa" display="🔗 Ver Mapa" xr:uid="{00000000-0004-0000-0000-000068020000}"/>
    <hyperlink ref="L632" r:id="rId618" tooltip="🔗 Ver Mapa" display="🔗 Ver Mapa" xr:uid="{00000000-0004-0000-0000-000069020000}"/>
    <hyperlink ref="L633" r:id="rId619" tooltip="🔗 Ver Mapa" display="🔗 Ver Mapa" xr:uid="{00000000-0004-0000-0000-00006A020000}"/>
    <hyperlink ref="L634" r:id="rId620" tooltip="🔗 Ver Mapa" display="🔗 Ver Mapa" xr:uid="{00000000-0004-0000-0000-00006B020000}"/>
    <hyperlink ref="L635" r:id="rId621" tooltip="🔗 Ver Mapa" display="🔗 Ver Mapa" xr:uid="{00000000-0004-0000-0000-00006C020000}"/>
    <hyperlink ref="L636" r:id="rId622" tooltip="🔗 Ver Mapa" display="🔗 Ver Mapa" xr:uid="{00000000-0004-0000-0000-00006D020000}"/>
    <hyperlink ref="L637" r:id="rId623" tooltip="🔗 Ver Mapa" display="🔗 Ver Mapa" xr:uid="{00000000-0004-0000-0000-00006E020000}"/>
    <hyperlink ref="L638" r:id="rId624" tooltip="🔗 Ver Mapa" display="🔗 Ver Mapa" xr:uid="{00000000-0004-0000-0000-00006F020000}"/>
    <hyperlink ref="L639" r:id="rId625" tooltip="🔗 Ver Mapa" display="🔗 Ver Mapa" xr:uid="{00000000-0004-0000-0000-000070020000}"/>
    <hyperlink ref="L640" r:id="rId626" tooltip="🔗 Ver Mapa" display="🔗 Ver Mapa" xr:uid="{00000000-0004-0000-0000-000071020000}"/>
    <hyperlink ref="L641" r:id="rId627" tooltip="🔗 Ver Mapa" display="🔗 Ver Mapa" xr:uid="{00000000-0004-0000-0000-000072020000}"/>
    <hyperlink ref="L642" r:id="rId628" tooltip="🔗 Ver Mapa" display="🔗 Ver Mapa" xr:uid="{00000000-0004-0000-0000-000073020000}"/>
    <hyperlink ref="L643" r:id="rId629" tooltip="🔗 Ver Mapa" display="🔗 Ver Mapa" xr:uid="{00000000-0004-0000-0000-000074020000}"/>
    <hyperlink ref="L644" r:id="rId630" tooltip="🔗 Ver Mapa" display="🔗 Ver Mapa" xr:uid="{00000000-0004-0000-0000-000075020000}"/>
    <hyperlink ref="L645" r:id="rId631" tooltip="🔗 Ver Mapa" display="🔗 Ver Mapa" xr:uid="{00000000-0004-0000-0000-000076020000}"/>
    <hyperlink ref="L646" r:id="rId632" tooltip="🔗 Ver Mapa" display="🔗 Ver Mapa" xr:uid="{00000000-0004-0000-0000-000077020000}"/>
    <hyperlink ref="L647" r:id="rId633" tooltip="🔗 Ver Mapa" display="🔗 Ver Mapa" xr:uid="{00000000-0004-0000-0000-000078020000}"/>
    <hyperlink ref="L648" r:id="rId634" tooltip="🔗 Ver Mapa" display="🔗 Ver Mapa" xr:uid="{00000000-0004-0000-0000-000079020000}"/>
    <hyperlink ref="L649" r:id="rId635" tooltip="🔗 Ver Mapa" display="🔗 Ver Mapa" xr:uid="{00000000-0004-0000-0000-00007A020000}"/>
    <hyperlink ref="L650" r:id="rId636" tooltip="🔗 Ver Mapa" display="🔗 Ver Mapa" xr:uid="{00000000-0004-0000-0000-00007B020000}"/>
    <hyperlink ref="L651" r:id="rId637" tooltip="🔗 Ver Mapa" display="🔗 Ver Mapa" xr:uid="{00000000-0004-0000-0000-00007C020000}"/>
    <hyperlink ref="L652" r:id="rId638" tooltip="🔗 Ver Mapa" display="🔗 Ver Mapa" xr:uid="{00000000-0004-0000-0000-00007D020000}"/>
    <hyperlink ref="L653" r:id="rId639" tooltip="🔗 Ver Mapa" display="🔗 Ver Mapa" xr:uid="{00000000-0004-0000-0000-00007E020000}"/>
    <hyperlink ref="L654" r:id="rId640" tooltip="🔗 Ver Mapa" display="🔗 Ver Mapa" xr:uid="{00000000-0004-0000-0000-00007F020000}"/>
    <hyperlink ref="L655" r:id="rId641" tooltip="🔗 Ver Mapa" display="🔗 Ver Mapa" xr:uid="{00000000-0004-0000-0000-000080020000}"/>
    <hyperlink ref="L656" r:id="rId642" tooltip="🔗 Ver Mapa" display="🔗 Ver Mapa" xr:uid="{00000000-0004-0000-0000-000081020000}"/>
    <hyperlink ref="L657" r:id="rId643" tooltip="🔗 Ver Mapa" display="🔗 Ver Mapa" xr:uid="{00000000-0004-0000-0000-000082020000}"/>
    <hyperlink ref="L658" r:id="rId644" tooltip="🔗 Ver Mapa" display="🔗 Ver Mapa" xr:uid="{00000000-0004-0000-0000-000083020000}"/>
    <hyperlink ref="L659" r:id="rId645" tooltip="🔗 Ver Mapa" display="🔗 Ver Mapa" xr:uid="{00000000-0004-0000-0000-000084020000}"/>
    <hyperlink ref="L660" r:id="rId646" tooltip="🔗 Ver Mapa" display="🔗 Ver Mapa" xr:uid="{00000000-0004-0000-0000-000085020000}"/>
    <hyperlink ref="L661" r:id="rId647" tooltip="🔗 Ver Mapa" display="🔗 Ver Mapa" xr:uid="{00000000-0004-0000-0000-000086020000}"/>
    <hyperlink ref="L662" r:id="rId648" tooltip="🔗 Ver Mapa" display="🔗 Ver Mapa" xr:uid="{00000000-0004-0000-0000-000087020000}"/>
    <hyperlink ref="L663" r:id="rId649" tooltip="🔗 Ver Mapa" display="🔗 Ver Mapa" xr:uid="{00000000-0004-0000-0000-000088020000}"/>
    <hyperlink ref="L664" r:id="rId650" tooltip="🔗 Ver Mapa" display="🔗 Ver Mapa" xr:uid="{00000000-0004-0000-0000-000089020000}"/>
    <hyperlink ref="L665" r:id="rId651" tooltip="🔗 Ver Mapa" display="🔗 Ver Mapa" xr:uid="{00000000-0004-0000-0000-00008A020000}"/>
    <hyperlink ref="L666" r:id="rId652" tooltip="🔗 Ver Mapa" display="🔗 Ver Mapa" xr:uid="{00000000-0004-0000-0000-00008B020000}"/>
    <hyperlink ref="L667" r:id="rId653" tooltip="🔗 Ver Mapa" display="🔗 Ver Mapa" xr:uid="{00000000-0004-0000-0000-00008C020000}"/>
    <hyperlink ref="L668" r:id="rId654" tooltip="🔗 Ver Mapa" display="🔗 Ver Mapa" xr:uid="{00000000-0004-0000-0000-00008D020000}"/>
    <hyperlink ref="L669" r:id="rId655" tooltip="🔗 Ver Mapa" display="🔗 Ver Mapa" xr:uid="{00000000-0004-0000-0000-00008E020000}"/>
    <hyperlink ref="L670" r:id="rId656" tooltip="🔗 Ver Mapa" display="🔗 Ver Mapa" xr:uid="{00000000-0004-0000-0000-00008F020000}"/>
    <hyperlink ref="L671" r:id="rId657" tooltip="🔗 Ver Mapa" display="🔗 Ver Mapa" xr:uid="{00000000-0004-0000-0000-000090020000}"/>
    <hyperlink ref="L672" r:id="rId658" tooltip="🔗 Ver Mapa" display="🔗 Ver Mapa" xr:uid="{00000000-0004-0000-0000-000091020000}"/>
    <hyperlink ref="L673" r:id="rId659" tooltip="🔗 Ver Mapa" display="🔗 Ver Mapa" xr:uid="{00000000-0004-0000-0000-000092020000}"/>
    <hyperlink ref="L674" r:id="rId660" tooltip="🔗 Ver Mapa" display="🔗 Ver Mapa" xr:uid="{00000000-0004-0000-0000-000093020000}"/>
    <hyperlink ref="L675" r:id="rId661" tooltip="🔗 Ver Mapa" display="🔗 Ver Mapa" xr:uid="{00000000-0004-0000-0000-000094020000}"/>
    <hyperlink ref="L676" r:id="rId662" tooltip="🔗 Ver Mapa" display="🔗 Ver Mapa" xr:uid="{00000000-0004-0000-0000-000095020000}"/>
    <hyperlink ref="L677" r:id="rId663" tooltip="🔗 Ver Mapa" display="🔗 Ver Mapa" xr:uid="{00000000-0004-0000-0000-000096020000}"/>
    <hyperlink ref="L678" r:id="rId664" tooltip="🔗 Ver Mapa" display="🔗 Ver Mapa" xr:uid="{00000000-0004-0000-0000-000097020000}"/>
    <hyperlink ref="L679" r:id="rId665" tooltip="🔗 Ver Mapa" display="🔗 Ver Mapa" xr:uid="{00000000-0004-0000-0000-000098020000}"/>
    <hyperlink ref="L680" r:id="rId666" tooltip="🔗 Ver Mapa" display="🔗 Ver Mapa" xr:uid="{00000000-0004-0000-0000-000099020000}"/>
    <hyperlink ref="L681" r:id="rId667" tooltip="🔗 Ver Mapa" display="🔗 Ver Mapa" xr:uid="{00000000-0004-0000-0000-00009A020000}"/>
    <hyperlink ref="L682" r:id="rId668" tooltip="🔗 Ver Mapa" display="🔗 Ver Mapa" xr:uid="{00000000-0004-0000-0000-00009B020000}"/>
    <hyperlink ref="L683" r:id="rId669" tooltip="🔗 Ver Mapa" display="🔗 Ver Mapa" xr:uid="{00000000-0004-0000-0000-00009C020000}"/>
    <hyperlink ref="L684" r:id="rId670" tooltip="🔗 Ver Mapa" display="🔗 Ver Mapa" xr:uid="{00000000-0004-0000-0000-00009D020000}"/>
    <hyperlink ref="L685" r:id="rId671" tooltip="🔗 Ver Mapa" display="🔗 Ver Mapa" xr:uid="{00000000-0004-0000-0000-00009E020000}"/>
    <hyperlink ref="L686" r:id="rId672" tooltip="🔗 Ver Mapa" display="🔗 Ver Mapa" xr:uid="{00000000-0004-0000-0000-00009F020000}"/>
    <hyperlink ref="L687" r:id="rId673" tooltip="🔗 Ver Mapa" display="🔗 Ver Mapa" xr:uid="{00000000-0004-0000-0000-0000A0020000}"/>
    <hyperlink ref="L688" r:id="rId674" tooltip="🔗 Ver Mapa" display="🔗 Ver Mapa" xr:uid="{00000000-0004-0000-0000-0000A1020000}"/>
    <hyperlink ref="L689" r:id="rId675" tooltip="🔗 Ver Mapa" display="🔗 Ver Mapa" xr:uid="{00000000-0004-0000-0000-0000A2020000}"/>
    <hyperlink ref="L690" r:id="rId676" tooltip="🔗 Ver Mapa" display="🔗 Ver Mapa" xr:uid="{00000000-0004-0000-0000-0000A3020000}"/>
    <hyperlink ref="L691" r:id="rId677" tooltip="🔗 Ver Mapa" display="🔗 Ver Mapa" xr:uid="{00000000-0004-0000-0000-0000A4020000}"/>
    <hyperlink ref="L692" r:id="rId678" tooltip="🔗 Ver Mapa" display="🔗 Ver Mapa" xr:uid="{00000000-0004-0000-0000-0000A5020000}"/>
    <hyperlink ref="L693" r:id="rId679" tooltip="🔗 Ver Mapa" display="🔗 Ver Mapa" xr:uid="{00000000-0004-0000-0000-0000A6020000}"/>
    <hyperlink ref="L694" r:id="rId680" tooltip="🔗 Ver Mapa" display="🔗 Ver Mapa" xr:uid="{00000000-0004-0000-0000-0000A7020000}"/>
    <hyperlink ref="L695" r:id="rId681" tooltip="🔗 Ver Mapa" display="🔗 Ver Mapa" xr:uid="{00000000-0004-0000-0000-0000A8020000}"/>
    <hyperlink ref="L696" r:id="rId682" tooltip="🔗 Ver Mapa" display="🔗 Ver Mapa" xr:uid="{00000000-0004-0000-0000-0000A9020000}"/>
    <hyperlink ref="L697" r:id="rId683" tooltip="🔗 Ver Mapa" display="🔗 Ver Mapa" xr:uid="{00000000-0004-0000-0000-0000AA020000}"/>
    <hyperlink ref="L698" r:id="rId684" tooltip="🔗 Ver Mapa" display="🔗 Ver Mapa" xr:uid="{00000000-0004-0000-0000-0000AB020000}"/>
    <hyperlink ref="L699" r:id="rId685" tooltip="🔗 Ver Mapa" display="🔗 Ver Mapa" xr:uid="{00000000-0004-0000-0000-0000AC020000}"/>
    <hyperlink ref="L700" r:id="rId686" tooltip="🔗 Ver Mapa" display="🔗 Ver Mapa" xr:uid="{00000000-0004-0000-0000-0000AD020000}"/>
    <hyperlink ref="L701" r:id="rId687" tooltip="🔗 Ver Mapa" display="🔗 Ver Mapa" xr:uid="{00000000-0004-0000-0000-0000AE020000}"/>
    <hyperlink ref="L702" r:id="rId688" tooltip="🔗 Ver Mapa" display="🔗 Ver Mapa" xr:uid="{00000000-0004-0000-0000-0000AF020000}"/>
    <hyperlink ref="L703" r:id="rId689" tooltip="🔗 Ver Mapa" display="🔗 Ver Mapa" xr:uid="{00000000-0004-0000-0000-0000B0020000}"/>
    <hyperlink ref="L704" r:id="rId690" tooltip="🔗 Ver Mapa" display="🔗 Ver Mapa" xr:uid="{00000000-0004-0000-0000-0000B1020000}"/>
    <hyperlink ref="L705" r:id="rId691" tooltip="🔗 Ver Mapa" display="🔗 Ver Mapa" xr:uid="{00000000-0004-0000-0000-0000B2020000}"/>
    <hyperlink ref="L706" r:id="rId692" tooltip="🔗 Ver Mapa" display="🔗 Ver Mapa" xr:uid="{00000000-0004-0000-0000-0000B3020000}"/>
    <hyperlink ref="L707" r:id="rId693" tooltip="🔗 Ver Mapa" display="🔗 Ver Mapa" xr:uid="{00000000-0004-0000-0000-0000B4020000}"/>
    <hyperlink ref="L708" r:id="rId694" tooltip="🔗 Ver Mapa" display="🔗 Ver Mapa" xr:uid="{00000000-0004-0000-0000-0000B5020000}"/>
    <hyperlink ref="L709" r:id="rId695" tooltip="🔗 Ver Mapa" display="🔗 Ver Mapa" xr:uid="{00000000-0004-0000-0000-0000B6020000}"/>
    <hyperlink ref="L710" r:id="rId696" tooltip="🔗 Ver Mapa" display="🔗 Ver Mapa" xr:uid="{00000000-0004-0000-0000-0000B7020000}"/>
    <hyperlink ref="L711" r:id="rId697" tooltip="🔗 Ver Mapa" display="🔗 Ver Mapa" xr:uid="{00000000-0004-0000-0000-0000B8020000}"/>
    <hyperlink ref="L712" r:id="rId698" tooltip="🔗 Ver Mapa" display="🔗 Ver Mapa" xr:uid="{00000000-0004-0000-0000-0000B9020000}"/>
    <hyperlink ref="L713" r:id="rId699" tooltip="🔗 Ver Mapa" display="🔗 Ver Mapa" xr:uid="{00000000-0004-0000-0000-0000BA020000}"/>
    <hyperlink ref="L714" r:id="rId700" tooltip="🔗 Ver Mapa" display="🔗 Ver Mapa" xr:uid="{00000000-0004-0000-0000-0000BB020000}"/>
    <hyperlink ref="L715" r:id="rId701" tooltip="🔗 Ver Mapa" display="🔗 Ver Mapa" xr:uid="{00000000-0004-0000-0000-0000BC020000}"/>
    <hyperlink ref="L716" r:id="rId702" tooltip="🔗 Ver Mapa" display="🔗 Ver Mapa" xr:uid="{00000000-0004-0000-0000-0000BD020000}"/>
    <hyperlink ref="L717" r:id="rId703" tooltip="🔗 Ver Mapa" display="🔗 Ver Mapa" xr:uid="{00000000-0004-0000-0000-0000BE020000}"/>
    <hyperlink ref="L718" r:id="rId704" tooltip="🔗 Ver Mapa" display="🔗 Ver Mapa" xr:uid="{00000000-0004-0000-0000-0000BF020000}"/>
    <hyperlink ref="L719" r:id="rId705" tooltip="🔗 Ver Mapa" display="🔗 Ver Mapa" xr:uid="{00000000-0004-0000-0000-0000C0020000}"/>
    <hyperlink ref="L720" r:id="rId706" tooltip="🔗 Ver Mapa" display="🔗 Ver Mapa" xr:uid="{00000000-0004-0000-0000-0000C1020000}"/>
    <hyperlink ref="L721" r:id="rId707" tooltip="🔗 Ver Mapa" display="🔗 Ver Mapa" xr:uid="{00000000-0004-0000-0000-0000C2020000}"/>
    <hyperlink ref="L722" r:id="rId708" tooltip="🔗 Ver Mapa" display="🔗 Ver Mapa" xr:uid="{00000000-0004-0000-0000-0000C3020000}"/>
    <hyperlink ref="L723" r:id="rId709" tooltip="🔗 Ver Mapa" display="🔗 Ver Mapa" xr:uid="{00000000-0004-0000-0000-0000C4020000}"/>
    <hyperlink ref="L724" r:id="rId710" tooltip="🔗 Ver Mapa" display="🔗 Ver Mapa" xr:uid="{00000000-0004-0000-0000-0000C5020000}"/>
    <hyperlink ref="L725" r:id="rId711" tooltip="🔗 Ver Mapa" display="🔗 Ver Mapa" xr:uid="{00000000-0004-0000-0000-0000C6020000}"/>
    <hyperlink ref="L726" r:id="rId712" tooltip="🔗 Ver Mapa" display="🔗 Ver Mapa" xr:uid="{00000000-0004-0000-0000-0000C7020000}"/>
    <hyperlink ref="L727" r:id="rId713" tooltip="🔗 Ver Mapa" display="🔗 Ver Mapa" xr:uid="{00000000-0004-0000-0000-0000C8020000}"/>
    <hyperlink ref="L728" r:id="rId714" tooltip="🔗 Ver Mapa" display="🔗 Ver Mapa" xr:uid="{00000000-0004-0000-0000-0000C9020000}"/>
    <hyperlink ref="L729" r:id="rId715" tooltip="🔗 Ver Mapa" display="🔗 Ver Mapa" xr:uid="{00000000-0004-0000-0000-0000CA020000}"/>
    <hyperlink ref="L730" r:id="rId716" tooltip="🔗 Ver Mapa" display="🔗 Ver Mapa" xr:uid="{00000000-0004-0000-0000-0000CB020000}"/>
    <hyperlink ref="L731" r:id="rId717" tooltip="🔗 Ver Mapa" display="🔗 Ver Mapa" xr:uid="{00000000-0004-0000-0000-0000CC020000}"/>
    <hyperlink ref="L732" r:id="rId718" tooltip="🔗 Ver Mapa" display="🔗 Ver Mapa" xr:uid="{00000000-0004-0000-0000-0000CD020000}"/>
    <hyperlink ref="L733" r:id="rId719" tooltip="🔗 Ver Mapa" display="🔗 Ver Mapa" xr:uid="{00000000-0004-0000-0000-0000CE020000}"/>
    <hyperlink ref="L734" r:id="rId720" tooltip="🔗 Ver Mapa" display="🔗 Ver Mapa" xr:uid="{00000000-0004-0000-0000-0000CF020000}"/>
    <hyperlink ref="L735" r:id="rId721" tooltip="🔗 Ver Mapa" display="🔗 Ver Mapa" xr:uid="{00000000-0004-0000-0000-0000D0020000}"/>
    <hyperlink ref="L736" r:id="rId722" tooltip="🔗 Ver Mapa" display="🔗 Ver Mapa" xr:uid="{00000000-0004-0000-0000-0000D1020000}"/>
    <hyperlink ref="L737" r:id="rId723" tooltip="🔗 Ver Mapa" display="🔗 Ver Mapa" xr:uid="{00000000-0004-0000-0000-0000D2020000}"/>
    <hyperlink ref="L738" r:id="rId724" tooltip="🔗 Ver Mapa" display="🔗 Ver Mapa" xr:uid="{00000000-0004-0000-0000-0000D3020000}"/>
    <hyperlink ref="L739" r:id="rId725" tooltip="🔗 Ver Mapa" display="🔗 Ver Mapa" xr:uid="{00000000-0004-0000-0000-0000D4020000}"/>
    <hyperlink ref="L740" r:id="rId726" tooltip="🔗 Ver Mapa" display="🔗 Ver Mapa" xr:uid="{00000000-0004-0000-0000-0000D5020000}"/>
    <hyperlink ref="L741" r:id="rId727" tooltip="🔗 Ver Mapa" display="🔗 Ver Mapa" xr:uid="{00000000-0004-0000-0000-0000D6020000}"/>
    <hyperlink ref="L742" r:id="rId728" tooltip="🔗 Ver Mapa" display="🔗 Ver Mapa" xr:uid="{00000000-0004-0000-0000-0000D7020000}"/>
    <hyperlink ref="L743" r:id="rId729" tooltip="🔗 Ver Mapa" display="🔗 Ver Mapa" xr:uid="{00000000-0004-0000-0000-0000D8020000}"/>
    <hyperlink ref="L744" r:id="rId730" tooltip="🔗 Ver Mapa" display="🔗 Ver Mapa" xr:uid="{00000000-0004-0000-0000-0000D9020000}"/>
    <hyperlink ref="L745" r:id="rId731" tooltip="🔗 Ver Mapa" display="🔗 Ver Mapa" xr:uid="{00000000-0004-0000-0000-0000DA020000}"/>
    <hyperlink ref="L746" r:id="rId732" tooltip="🔗 Ver Mapa" display="🔗 Ver Mapa" xr:uid="{00000000-0004-0000-0000-0000DB020000}"/>
    <hyperlink ref="L747" r:id="rId733" tooltip="🔗 Ver Mapa" display="🔗 Ver Mapa" xr:uid="{00000000-0004-0000-0000-0000DC020000}"/>
    <hyperlink ref="L748" r:id="rId734" tooltip="🔗 Ver Mapa" display="🔗 Ver Mapa" xr:uid="{00000000-0004-0000-0000-0000DD020000}"/>
    <hyperlink ref="L749" r:id="rId735" tooltip="🔗 Ver Mapa" display="🔗 Ver Mapa" xr:uid="{00000000-0004-0000-0000-0000DE020000}"/>
    <hyperlink ref="L750" r:id="rId736" tooltip="🔗 Ver Mapa" display="🔗 Ver Mapa" xr:uid="{00000000-0004-0000-0000-0000DF020000}"/>
    <hyperlink ref="L751" r:id="rId737" tooltip="🔗 Ver Mapa" display="🔗 Ver Mapa" xr:uid="{00000000-0004-0000-0000-0000E0020000}"/>
    <hyperlink ref="L752" r:id="rId738" tooltip="🔗 Ver Mapa" display="🔗 Ver Mapa" xr:uid="{00000000-0004-0000-0000-0000E1020000}"/>
    <hyperlink ref="L753" r:id="rId739" tooltip="🔗 Ver Mapa" display="🔗 Ver Mapa" xr:uid="{00000000-0004-0000-0000-0000E2020000}"/>
    <hyperlink ref="L754" r:id="rId740" tooltip="🔗 Ver Mapa" display="🔗 Ver Mapa" xr:uid="{00000000-0004-0000-0000-0000E3020000}"/>
    <hyperlink ref="L755" r:id="rId741" tooltip="🔗 Ver Mapa" display="🔗 Ver Mapa" xr:uid="{00000000-0004-0000-0000-0000E4020000}"/>
    <hyperlink ref="L756" r:id="rId742" tooltip="🔗 Ver Mapa" display="🔗 Ver Mapa" xr:uid="{00000000-0004-0000-0000-0000E5020000}"/>
    <hyperlink ref="L757" r:id="rId743" tooltip="🔗 Ver Mapa" display="🔗 Ver Mapa" xr:uid="{00000000-0004-0000-0000-0000E6020000}"/>
    <hyperlink ref="L758" r:id="rId744" tooltip="🔗 Ver Mapa" display="🔗 Ver Mapa" xr:uid="{00000000-0004-0000-0000-0000E7020000}"/>
    <hyperlink ref="L759" r:id="rId745" tooltip="🔗 Ver Mapa" display="🔗 Ver Mapa" xr:uid="{00000000-0004-0000-0000-0000E8020000}"/>
    <hyperlink ref="L760" r:id="rId746" tooltip="🔗 Ver Mapa" display="🔗 Ver Mapa" xr:uid="{00000000-0004-0000-0000-0000E9020000}"/>
    <hyperlink ref="L761" r:id="rId747" tooltip="🔗 Ver Mapa" display="🔗 Ver Mapa" xr:uid="{00000000-0004-0000-0000-0000EA020000}"/>
    <hyperlink ref="L762" r:id="rId748" tooltip="🔗 Ver Mapa" display="🔗 Ver Mapa" xr:uid="{00000000-0004-0000-0000-0000EB020000}"/>
    <hyperlink ref="L763" r:id="rId749" tooltip="🔗 Ver Mapa" display="🔗 Ver Mapa" xr:uid="{00000000-0004-0000-0000-0000EC020000}"/>
    <hyperlink ref="L764" r:id="rId750" tooltip="🔗 Ver Mapa" display="🔗 Ver Mapa" xr:uid="{00000000-0004-0000-0000-0000ED020000}"/>
    <hyperlink ref="L765" r:id="rId751" tooltip="🔗 Ver Mapa" display="🔗 Ver Mapa" xr:uid="{00000000-0004-0000-0000-0000EE020000}"/>
    <hyperlink ref="L766" r:id="rId752" tooltip="🔗 Ver Mapa" display="🔗 Ver Mapa" xr:uid="{00000000-0004-0000-0000-0000EF020000}"/>
    <hyperlink ref="L767" r:id="rId753" tooltip="🔗 Ver Mapa" display="🔗 Ver Mapa" xr:uid="{00000000-0004-0000-0000-0000F0020000}"/>
    <hyperlink ref="L768" r:id="rId754" tooltip="🔗 Ver Mapa" display="🔗 Ver Mapa" xr:uid="{00000000-0004-0000-0000-0000F1020000}"/>
    <hyperlink ref="L769" r:id="rId755" tooltip="🔗 Ver Mapa" display="🔗 Ver Mapa" xr:uid="{00000000-0004-0000-0000-0000F2020000}"/>
    <hyperlink ref="L770" r:id="rId756" tooltip="🔗 Ver Mapa" display="🔗 Ver Mapa" xr:uid="{00000000-0004-0000-0000-0000F3020000}"/>
    <hyperlink ref="L771" r:id="rId757" tooltip="🔗 Ver Mapa" display="🔗 Ver Mapa" xr:uid="{00000000-0004-0000-0000-0000F4020000}"/>
    <hyperlink ref="L772" r:id="rId758" tooltip="🔗 Ver Mapa" display="🔗 Ver Mapa" xr:uid="{00000000-0004-0000-0000-0000F5020000}"/>
    <hyperlink ref="L773" r:id="rId759" tooltip="🔗 Ver Mapa" display="🔗 Ver Mapa" xr:uid="{00000000-0004-0000-0000-0000F6020000}"/>
    <hyperlink ref="L774" r:id="rId760" tooltip="🔗 Ver Mapa" display="🔗 Ver Mapa" xr:uid="{00000000-0004-0000-0000-0000F7020000}"/>
    <hyperlink ref="L775" r:id="rId761" tooltip="🔗 Ver Mapa" display="🔗 Ver Mapa" xr:uid="{00000000-0004-0000-0000-0000F8020000}"/>
    <hyperlink ref="L776" r:id="rId762" tooltip="🔗 Ver Mapa" display="🔗 Ver Mapa" xr:uid="{00000000-0004-0000-0000-0000F9020000}"/>
    <hyperlink ref="L777" r:id="rId763" tooltip="🔗 Ver Mapa" display="🔗 Ver Mapa" xr:uid="{00000000-0004-0000-0000-0000FA020000}"/>
    <hyperlink ref="L778" r:id="rId764" tooltip="🔗 Ver Mapa" display="🔗 Ver Mapa" xr:uid="{00000000-0004-0000-0000-0000FB020000}"/>
    <hyperlink ref="L779" r:id="rId765" tooltip="🔗 Ver Mapa" display="🔗 Ver Mapa" xr:uid="{00000000-0004-0000-0000-0000FC020000}"/>
    <hyperlink ref="L780" r:id="rId766" tooltip="🔗 Ver Mapa" display="🔗 Ver Mapa" xr:uid="{00000000-0004-0000-0000-0000FD020000}"/>
    <hyperlink ref="L781" r:id="rId767" tooltip="🔗 Ver Mapa" display="🔗 Ver Mapa" xr:uid="{00000000-0004-0000-0000-0000FE020000}"/>
    <hyperlink ref="L782" r:id="rId768" tooltip="🔗 Ver Mapa" display="🔗 Ver Mapa" xr:uid="{00000000-0004-0000-0000-0000FF020000}"/>
    <hyperlink ref="L783" r:id="rId769" tooltip="🔗 Ver Mapa" display="🔗 Ver Mapa" xr:uid="{00000000-0004-0000-0000-000000030000}"/>
    <hyperlink ref="L784" r:id="rId770" tooltip="🔗 Ver Mapa" display="🔗 Ver Mapa" xr:uid="{00000000-0004-0000-0000-000001030000}"/>
    <hyperlink ref="L785" r:id="rId771" tooltip="🔗 Ver Mapa" display="🔗 Ver Mapa" xr:uid="{00000000-0004-0000-0000-000002030000}"/>
    <hyperlink ref="L786" r:id="rId772" tooltip="🔗 Ver Mapa" display="🔗 Ver Mapa" xr:uid="{00000000-0004-0000-0000-000003030000}"/>
    <hyperlink ref="L787" r:id="rId773" tooltip="🔗 Ver Mapa" display="🔗 Ver Mapa" xr:uid="{00000000-0004-0000-0000-000004030000}"/>
    <hyperlink ref="L788" r:id="rId774" tooltip="🔗 Ver Mapa" display="🔗 Ver Mapa" xr:uid="{00000000-0004-0000-0000-000005030000}"/>
    <hyperlink ref="L789" r:id="rId775" tooltip="🔗 Ver Mapa" display="🔗 Ver Mapa" xr:uid="{00000000-0004-0000-0000-000006030000}"/>
    <hyperlink ref="L790" r:id="rId776" tooltip="🔗 Ver Mapa" display="🔗 Ver Mapa" xr:uid="{00000000-0004-0000-0000-000007030000}"/>
    <hyperlink ref="L791" r:id="rId777" tooltip="🔗 Ver Mapa" display="🔗 Ver Mapa" xr:uid="{00000000-0004-0000-0000-000008030000}"/>
    <hyperlink ref="L792" r:id="rId778" tooltip="🔗 Ver Mapa" display="🔗 Ver Mapa" xr:uid="{00000000-0004-0000-0000-000009030000}"/>
    <hyperlink ref="L793" r:id="rId779" tooltip="🔗 Ver Mapa" display="🔗 Ver Mapa" xr:uid="{00000000-0004-0000-0000-00000A030000}"/>
    <hyperlink ref="L794" r:id="rId780" tooltip="🔗 Ver Mapa" display="🔗 Ver Mapa" xr:uid="{00000000-0004-0000-0000-00000B030000}"/>
    <hyperlink ref="L795" r:id="rId781" tooltip="🔗 Ver Mapa" display="🔗 Ver Mapa" xr:uid="{00000000-0004-0000-0000-00000C030000}"/>
    <hyperlink ref="L796" r:id="rId782" tooltip="🔗 Ver Mapa" display="🔗 Ver Mapa" xr:uid="{00000000-0004-0000-0000-00000D030000}"/>
    <hyperlink ref="L797" r:id="rId783" tooltip="🔗 Ver Mapa" display="🔗 Ver Mapa" xr:uid="{00000000-0004-0000-0000-00000E030000}"/>
    <hyperlink ref="L798" r:id="rId784" tooltip="🔗 Ver Mapa" display="🔗 Ver Mapa" xr:uid="{00000000-0004-0000-0000-00000F030000}"/>
    <hyperlink ref="L799" r:id="rId785" tooltip="🔗 Ver Mapa" display="🔗 Ver Mapa" xr:uid="{00000000-0004-0000-0000-000010030000}"/>
    <hyperlink ref="L800" r:id="rId786" tooltip="🔗 Ver Mapa" display="🔗 Ver Mapa" xr:uid="{00000000-0004-0000-0000-000011030000}"/>
    <hyperlink ref="L801" r:id="rId787" tooltip="🔗 Ver Mapa" display="🔗 Ver Mapa" xr:uid="{00000000-0004-0000-0000-000012030000}"/>
    <hyperlink ref="L802" r:id="rId788" tooltip="🔗 Ver Mapa" display="🔗 Ver Mapa" xr:uid="{00000000-0004-0000-0000-000013030000}"/>
    <hyperlink ref="L803" r:id="rId789" tooltip="🔗 Ver Mapa" display="🔗 Ver Mapa" xr:uid="{00000000-0004-0000-0000-000014030000}"/>
    <hyperlink ref="L804" r:id="rId790" tooltip="🔗 Ver Mapa" display="🔗 Ver Mapa" xr:uid="{00000000-0004-0000-0000-000015030000}"/>
    <hyperlink ref="L805" r:id="rId791" tooltip="🔗 Ver Mapa" display="🔗 Ver Mapa" xr:uid="{00000000-0004-0000-0000-000016030000}"/>
    <hyperlink ref="L806" r:id="rId792" tooltip="🔗 Ver Mapa" display="🔗 Ver Mapa" xr:uid="{00000000-0004-0000-0000-000017030000}"/>
    <hyperlink ref="L807" r:id="rId793" tooltip="🔗 Ver Mapa" display="🔗 Ver Mapa" xr:uid="{00000000-0004-0000-0000-000018030000}"/>
    <hyperlink ref="L808" r:id="rId794" tooltip="🔗 Ver Mapa" display="🔗 Ver Mapa" xr:uid="{00000000-0004-0000-0000-000019030000}"/>
    <hyperlink ref="L809" r:id="rId795" tooltip="🔗 Ver Mapa" display="🔗 Ver Mapa" xr:uid="{00000000-0004-0000-0000-00001A030000}"/>
    <hyperlink ref="L810" r:id="rId796" tooltip="🔗 Ver Mapa" display="🔗 Ver Mapa" xr:uid="{00000000-0004-0000-0000-00001B030000}"/>
    <hyperlink ref="L811" r:id="rId797" tooltip="🔗 Ver Mapa" display="🔗 Ver Mapa" xr:uid="{00000000-0004-0000-0000-00001C030000}"/>
    <hyperlink ref="L812" r:id="rId798" tooltip="🔗 Ver Mapa" display="🔗 Ver Mapa" xr:uid="{00000000-0004-0000-0000-00001D030000}"/>
    <hyperlink ref="L813" r:id="rId799" tooltip="🔗 Ver Mapa" display="🔗 Ver Mapa" xr:uid="{00000000-0004-0000-0000-00001E030000}"/>
    <hyperlink ref="L814" r:id="rId800" tooltip="🔗 Ver Mapa" display="🔗 Ver Mapa" xr:uid="{00000000-0004-0000-0000-00001F030000}"/>
    <hyperlink ref="L815" r:id="rId801" tooltip="🔗 Ver Mapa" display="🔗 Ver Mapa" xr:uid="{00000000-0004-0000-0000-000020030000}"/>
    <hyperlink ref="L816" r:id="rId802" tooltip="🔗 Ver Mapa" display="🔗 Ver Mapa" xr:uid="{00000000-0004-0000-0000-000021030000}"/>
    <hyperlink ref="L817" r:id="rId803" tooltip="🔗 Ver Mapa" display="🔗 Ver Mapa" xr:uid="{00000000-0004-0000-0000-000022030000}"/>
    <hyperlink ref="L818" r:id="rId804" tooltip="🔗 Ver Mapa" display="🔗 Ver Mapa" xr:uid="{00000000-0004-0000-0000-000023030000}"/>
    <hyperlink ref="L819" r:id="rId805" tooltip="🔗 Ver Mapa" display="🔗 Ver Mapa" xr:uid="{00000000-0004-0000-0000-000024030000}"/>
    <hyperlink ref="L820" r:id="rId806" tooltip="🔗 Ver Mapa" display="🔗 Ver Mapa" xr:uid="{00000000-0004-0000-0000-000025030000}"/>
    <hyperlink ref="L821" r:id="rId807" tooltip="🔗 Ver Mapa" display="🔗 Ver Mapa" xr:uid="{00000000-0004-0000-0000-000026030000}"/>
    <hyperlink ref="L822" r:id="rId808" tooltip="🔗 Ver Mapa" display="🔗 Ver Mapa" xr:uid="{00000000-0004-0000-0000-000027030000}"/>
    <hyperlink ref="L823" r:id="rId809" tooltip="🔗 Ver Mapa" display="🔗 Ver Mapa" xr:uid="{00000000-0004-0000-0000-000028030000}"/>
    <hyperlink ref="L824" r:id="rId810" tooltip="🔗 Ver Mapa" display="🔗 Ver Mapa" xr:uid="{00000000-0004-0000-0000-000029030000}"/>
    <hyperlink ref="L825" r:id="rId811" tooltip="🔗 Ver Mapa" display="🔗 Ver Mapa" xr:uid="{00000000-0004-0000-0000-00002A030000}"/>
    <hyperlink ref="L826" r:id="rId812" tooltip="🔗 Ver Mapa" display="🔗 Ver Mapa" xr:uid="{00000000-0004-0000-0000-00002B030000}"/>
    <hyperlink ref="L827" r:id="rId813" tooltip="🔗 Ver Mapa" display="🔗 Ver Mapa" xr:uid="{00000000-0004-0000-0000-00002C030000}"/>
    <hyperlink ref="L828" r:id="rId814" tooltip="🔗 Ver Mapa" display="🔗 Ver Mapa" xr:uid="{00000000-0004-0000-0000-00002D030000}"/>
    <hyperlink ref="L829" r:id="rId815" tooltip="🔗 Ver Mapa" display="🔗 Ver Mapa" xr:uid="{00000000-0004-0000-0000-00002E030000}"/>
    <hyperlink ref="L830" r:id="rId816" tooltip="🔗 Ver Mapa" display="🔗 Ver Mapa" xr:uid="{00000000-0004-0000-0000-00002F030000}"/>
    <hyperlink ref="L831" r:id="rId817" tooltip="🔗 Ver Mapa" display="🔗 Ver Mapa" xr:uid="{00000000-0004-0000-0000-000030030000}"/>
    <hyperlink ref="L832" r:id="rId818" tooltip="🔗 Ver Mapa" display="🔗 Ver Mapa" xr:uid="{00000000-0004-0000-0000-000031030000}"/>
    <hyperlink ref="L833" r:id="rId819" tooltip="🔗 Ver Mapa" display="🔗 Ver Mapa" xr:uid="{00000000-0004-0000-0000-000032030000}"/>
    <hyperlink ref="L834" r:id="rId820" tooltip="🔗 Ver Mapa" display="🔗 Ver Mapa" xr:uid="{00000000-0004-0000-0000-000033030000}"/>
    <hyperlink ref="L835" r:id="rId821" tooltip="🔗 Ver Mapa" display="🔗 Ver Mapa" xr:uid="{00000000-0004-0000-0000-000034030000}"/>
    <hyperlink ref="L836" r:id="rId822" tooltip="🔗 Ver Mapa" display="🔗 Ver Mapa" xr:uid="{00000000-0004-0000-0000-000035030000}"/>
    <hyperlink ref="L837" r:id="rId823" tooltip="🔗 Ver Mapa" display="🔗 Ver Mapa" xr:uid="{00000000-0004-0000-0000-000036030000}"/>
    <hyperlink ref="L838" r:id="rId824" tooltip="🔗 Ver Mapa" display="🔗 Ver Mapa" xr:uid="{00000000-0004-0000-0000-000037030000}"/>
    <hyperlink ref="L839" r:id="rId825" tooltip="🔗 Ver Mapa" display="🔗 Ver Mapa" xr:uid="{00000000-0004-0000-0000-000038030000}"/>
    <hyperlink ref="L840" r:id="rId826" tooltip="🔗 Ver Mapa" display="🔗 Ver Mapa" xr:uid="{00000000-0004-0000-0000-000039030000}"/>
    <hyperlink ref="L841" r:id="rId827" tooltip="🔗 Ver Mapa" display="🔗 Ver Mapa" xr:uid="{00000000-0004-0000-0000-00003A030000}"/>
    <hyperlink ref="L842" r:id="rId828" tooltip="🔗 Ver Mapa" display="🔗 Ver Mapa" xr:uid="{00000000-0004-0000-0000-00003B030000}"/>
    <hyperlink ref="L843" r:id="rId829" tooltip="🔗 Ver Mapa" display="🔗 Ver Mapa" xr:uid="{00000000-0004-0000-0000-00003C030000}"/>
    <hyperlink ref="L844" r:id="rId830" tooltip="🔗 Ver Mapa" display="🔗 Ver Mapa" xr:uid="{00000000-0004-0000-0000-00003D030000}"/>
    <hyperlink ref="L845" r:id="rId831" tooltip="🔗 Ver Mapa" display="🔗 Ver Mapa" xr:uid="{00000000-0004-0000-0000-00003E030000}"/>
    <hyperlink ref="L846" r:id="rId832" tooltip="🔗 Ver Mapa" display="🔗 Ver Mapa" xr:uid="{00000000-0004-0000-0000-00003F030000}"/>
    <hyperlink ref="L847" r:id="rId833" tooltip="🔗 Ver Mapa" display="🔗 Ver Mapa" xr:uid="{00000000-0004-0000-0000-000040030000}"/>
    <hyperlink ref="L848" r:id="rId834" tooltip="🔗 Ver Mapa" display="🔗 Ver Mapa" xr:uid="{00000000-0004-0000-0000-000041030000}"/>
    <hyperlink ref="L849" r:id="rId835" tooltip="🔗 Ver Mapa" display="🔗 Ver Mapa" xr:uid="{00000000-0004-0000-0000-000042030000}"/>
    <hyperlink ref="L850" r:id="rId836" tooltip="🔗 Ver Mapa" display="🔗 Ver Mapa" xr:uid="{00000000-0004-0000-0000-000043030000}"/>
    <hyperlink ref="L851" r:id="rId837" tooltip="🔗 Ver Mapa" display="🔗 Ver Mapa" xr:uid="{00000000-0004-0000-0000-000044030000}"/>
    <hyperlink ref="L852" r:id="rId838" tooltip="🔗 Ver Mapa" display="🔗 Ver Mapa" xr:uid="{00000000-0004-0000-0000-000045030000}"/>
    <hyperlink ref="L853" r:id="rId839" tooltip="🔗 Ver Mapa" display="🔗 Ver Mapa" xr:uid="{00000000-0004-0000-0000-000046030000}"/>
    <hyperlink ref="L854" r:id="rId840" tooltip="🔗 Ver Mapa" display="🔗 Ver Mapa" xr:uid="{00000000-0004-0000-0000-000047030000}"/>
    <hyperlink ref="L855" r:id="rId841" tooltip="🔗 Ver Mapa" display="🔗 Ver Mapa" xr:uid="{00000000-0004-0000-0000-000048030000}"/>
    <hyperlink ref="L856" r:id="rId842" tooltip="🔗 Ver Mapa" display="🔗 Ver Mapa" xr:uid="{00000000-0004-0000-0000-000049030000}"/>
    <hyperlink ref="L857" r:id="rId843" tooltip="🔗 Ver Mapa" display="🔗 Ver Mapa" xr:uid="{00000000-0004-0000-0000-00004A030000}"/>
    <hyperlink ref="L858" r:id="rId844" tooltip="🔗 Ver Mapa" display="🔗 Ver Mapa" xr:uid="{00000000-0004-0000-0000-00004B030000}"/>
    <hyperlink ref="L859" r:id="rId845" tooltip="🔗 Ver Mapa" display="🔗 Ver Mapa" xr:uid="{00000000-0004-0000-0000-00004C030000}"/>
    <hyperlink ref="L860" r:id="rId846" tooltip="🔗 Ver Mapa" display="🔗 Ver Mapa" xr:uid="{00000000-0004-0000-0000-00004D030000}"/>
    <hyperlink ref="L861" r:id="rId847" tooltip="🔗 Ver Mapa" display="🔗 Ver Mapa" xr:uid="{00000000-0004-0000-0000-00004E030000}"/>
    <hyperlink ref="L862" r:id="rId848" tooltip="🔗 Ver Mapa" display="🔗 Ver Mapa" xr:uid="{00000000-0004-0000-0000-00004F030000}"/>
    <hyperlink ref="L863" r:id="rId849" tooltip="🔗 Ver Mapa" display="🔗 Ver Mapa" xr:uid="{00000000-0004-0000-0000-000050030000}"/>
    <hyperlink ref="L864" r:id="rId850" tooltip="🔗 Ver Mapa" display="🔗 Ver Mapa" xr:uid="{00000000-0004-0000-0000-000051030000}"/>
    <hyperlink ref="L865" r:id="rId851" tooltip="🔗 Ver Mapa" display="🔗 Ver Mapa" xr:uid="{00000000-0004-0000-0000-000052030000}"/>
    <hyperlink ref="L866" r:id="rId852" tooltip="🔗 Ver Mapa" display="🔗 Ver Mapa" xr:uid="{00000000-0004-0000-0000-000053030000}"/>
    <hyperlink ref="L867" r:id="rId853" tooltip="🔗 Ver Mapa" display="🔗 Ver Mapa" xr:uid="{00000000-0004-0000-0000-000054030000}"/>
    <hyperlink ref="L868" r:id="rId854" tooltip="🔗 Ver Mapa" display="🔗 Ver Mapa" xr:uid="{00000000-0004-0000-0000-000055030000}"/>
    <hyperlink ref="L869" r:id="rId855" tooltip="🔗 Ver Mapa" display="🔗 Ver Mapa" xr:uid="{00000000-0004-0000-0000-000056030000}"/>
    <hyperlink ref="L870" r:id="rId856" tooltip="🔗 Ver Mapa" display="🔗 Ver Mapa" xr:uid="{00000000-0004-0000-0000-000057030000}"/>
    <hyperlink ref="L871" r:id="rId857" tooltip="🔗 Ver Mapa" display="🔗 Ver Mapa" xr:uid="{00000000-0004-0000-0000-000058030000}"/>
    <hyperlink ref="L872" r:id="rId858" tooltip="🔗 Ver Mapa" display="🔗 Ver Mapa" xr:uid="{00000000-0004-0000-0000-000059030000}"/>
    <hyperlink ref="L873" r:id="rId859" tooltip="🔗 Ver Mapa" display="🔗 Ver Mapa" xr:uid="{00000000-0004-0000-0000-00005A030000}"/>
    <hyperlink ref="L874" r:id="rId860" tooltip="🔗 Ver Mapa" display="🔗 Ver Mapa" xr:uid="{00000000-0004-0000-0000-00005B030000}"/>
    <hyperlink ref="L875" r:id="rId861" tooltip="🔗 Ver Mapa" display="🔗 Ver Mapa" xr:uid="{00000000-0004-0000-0000-00005C030000}"/>
    <hyperlink ref="L876" r:id="rId862" tooltip="🔗 Ver Mapa" display="🔗 Ver Mapa" xr:uid="{00000000-0004-0000-0000-00005D030000}"/>
    <hyperlink ref="L877" r:id="rId863" tooltip="🔗 Ver Mapa" display="🔗 Ver Mapa" xr:uid="{00000000-0004-0000-0000-00005E030000}"/>
    <hyperlink ref="L878" r:id="rId864" tooltip="🔗 Ver Mapa" display="🔗 Ver Mapa" xr:uid="{00000000-0004-0000-0000-00005F030000}"/>
    <hyperlink ref="L879" r:id="rId865" tooltip="🔗 Ver Mapa" display="🔗 Ver Mapa" xr:uid="{00000000-0004-0000-0000-000060030000}"/>
    <hyperlink ref="L880" r:id="rId866" tooltip="🔗 Ver Mapa" display="🔗 Ver Mapa" xr:uid="{00000000-0004-0000-0000-000061030000}"/>
    <hyperlink ref="L881" r:id="rId867" tooltip="🔗 Ver Mapa" display="🔗 Ver Mapa" xr:uid="{00000000-0004-0000-0000-000062030000}"/>
    <hyperlink ref="L882" r:id="rId868" tooltip="🔗 Ver Mapa" display="🔗 Ver Mapa" xr:uid="{00000000-0004-0000-0000-000063030000}"/>
    <hyperlink ref="L883" r:id="rId869" tooltip="🔗 Ver Mapa" display="🔗 Ver Mapa" xr:uid="{00000000-0004-0000-0000-000064030000}"/>
    <hyperlink ref="L884" r:id="rId870" tooltip="🔗 Ver Mapa" display="🔗 Ver Mapa" xr:uid="{00000000-0004-0000-0000-000065030000}"/>
    <hyperlink ref="L885" r:id="rId871" tooltip="🔗 Ver Mapa" display="🔗 Ver Mapa" xr:uid="{00000000-0004-0000-0000-000066030000}"/>
    <hyperlink ref="L886" r:id="rId872" tooltip="🔗 Ver Mapa" display="🔗 Ver Mapa" xr:uid="{00000000-0004-0000-0000-000067030000}"/>
    <hyperlink ref="L887" r:id="rId873" tooltip="🔗 Ver Mapa" display="🔗 Ver Mapa" xr:uid="{00000000-0004-0000-0000-000068030000}"/>
    <hyperlink ref="L888" r:id="rId874" tooltip="🔗 Ver Mapa" display="🔗 Ver Mapa" xr:uid="{00000000-0004-0000-0000-000069030000}"/>
    <hyperlink ref="L889" r:id="rId875" tooltip="🔗 Ver Mapa" display="🔗 Ver Mapa" xr:uid="{00000000-0004-0000-0000-00006A030000}"/>
    <hyperlink ref="L890" r:id="rId876" tooltip="🔗 Ver Mapa" display="🔗 Ver Mapa" xr:uid="{00000000-0004-0000-0000-00006B030000}"/>
    <hyperlink ref="L891" r:id="rId877" tooltip="🔗 Ver Mapa" display="🔗 Ver Mapa" xr:uid="{00000000-0004-0000-0000-00006C030000}"/>
    <hyperlink ref="L892" r:id="rId878" tooltip="🔗 Ver Mapa" display="🔗 Ver Mapa" xr:uid="{00000000-0004-0000-0000-00006D030000}"/>
    <hyperlink ref="L893" r:id="rId879" tooltip="🔗 Ver Mapa" display="🔗 Ver Mapa" xr:uid="{00000000-0004-0000-0000-00006E030000}"/>
    <hyperlink ref="L894" r:id="rId880" tooltip="🔗 Ver Mapa" display="🔗 Ver Mapa" xr:uid="{00000000-0004-0000-0000-00006F030000}"/>
    <hyperlink ref="L895" r:id="rId881" tooltip="🔗 Ver Mapa" display="🔗 Ver Mapa" xr:uid="{00000000-0004-0000-0000-000070030000}"/>
    <hyperlink ref="L896" r:id="rId882" tooltip="🔗 Ver Mapa" display="🔗 Ver Mapa" xr:uid="{00000000-0004-0000-0000-000071030000}"/>
    <hyperlink ref="L897" r:id="rId883" tooltip="🔗 Ver Mapa" display="🔗 Ver Mapa" xr:uid="{00000000-0004-0000-0000-000072030000}"/>
    <hyperlink ref="L898" r:id="rId884" tooltip="🔗 Ver Mapa" display="🔗 Ver Mapa" xr:uid="{00000000-0004-0000-0000-000073030000}"/>
    <hyperlink ref="L899" r:id="rId885" tooltip="🔗 Ver Mapa" display="🔗 Ver Mapa" xr:uid="{00000000-0004-0000-0000-000074030000}"/>
    <hyperlink ref="L900" r:id="rId886" tooltip="🔗 Ver Mapa" display="🔗 Ver Mapa" xr:uid="{00000000-0004-0000-0000-000075030000}"/>
    <hyperlink ref="L901" r:id="rId887" tooltip="🔗 Ver Mapa" display="🔗 Ver Mapa" xr:uid="{00000000-0004-0000-0000-000076030000}"/>
    <hyperlink ref="L902" r:id="rId888" tooltip="🔗 Ver Mapa" display="🔗 Ver Mapa" xr:uid="{00000000-0004-0000-0000-000077030000}"/>
    <hyperlink ref="L903" r:id="rId889" tooltip="🔗 Ver Mapa" display="🔗 Ver Mapa" xr:uid="{00000000-0004-0000-0000-000078030000}"/>
    <hyperlink ref="L904" r:id="rId890" tooltip="🔗 Ver Mapa" display="🔗 Ver Mapa" xr:uid="{00000000-0004-0000-0000-000079030000}"/>
    <hyperlink ref="L905" r:id="rId891" tooltip="🔗 Ver Mapa" display="🔗 Ver Mapa" xr:uid="{00000000-0004-0000-0000-00007A030000}"/>
    <hyperlink ref="L906" r:id="rId892" tooltip="🔗 Ver Mapa" display="🔗 Ver Mapa" xr:uid="{00000000-0004-0000-0000-00007B030000}"/>
    <hyperlink ref="L907" r:id="rId893" tooltip="🔗 Ver Mapa" display="🔗 Ver Mapa" xr:uid="{00000000-0004-0000-0000-00007C030000}"/>
    <hyperlink ref="L908" r:id="rId894" tooltip="🔗 Ver Mapa" display="🔗 Ver Mapa" xr:uid="{00000000-0004-0000-0000-00007D030000}"/>
    <hyperlink ref="L909" r:id="rId895" tooltip="🔗 Ver Mapa" display="🔗 Ver Mapa" xr:uid="{00000000-0004-0000-0000-00007E030000}"/>
    <hyperlink ref="L910" r:id="rId896" tooltip="🔗 Ver Mapa" display="🔗 Ver Mapa" xr:uid="{00000000-0004-0000-0000-00007F030000}"/>
    <hyperlink ref="L911" r:id="rId897" tooltip="🔗 Ver Mapa" display="🔗 Ver Mapa" xr:uid="{00000000-0004-0000-0000-000080030000}"/>
    <hyperlink ref="L912" r:id="rId898" tooltip="🔗 Ver Mapa" display="🔗 Ver Mapa" xr:uid="{00000000-0004-0000-0000-000081030000}"/>
    <hyperlink ref="L913" r:id="rId899" tooltip="🔗 Ver Mapa" display="🔗 Ver Mapa" xr:uid="{00000000-0004-0000-0000-000082030000}"/>
    <hyperlink ref="L914" r:id="rId900" tooltip="🔗 Ver Mapa" display="🔗 Ver Mapa" xr:uid="{00000000-0004-0000-0000-000083030000}"/>
    <hyperlink ref="L915" r:id="rId901" tooltip="🔗 Ver Mapa" display="🔗 Ver Mapa" xr:uid="{00000000-0004-0000-0000-000084030000}"/>
    <hyperlink ref="L916" r:id="rId902" tooltip="🔗 Ver Mapa" display="🔗 Ver Mapa" xr:uid="{00000000-0004-0000-0000-000085030000}"/>
    <hyperlink ref="L917" r:id="rId903" tooltip="🔗 Ver Mapa" display="🔗 Ver Mapa" xr:uid="{00000000-0004-0000-0000-000086030000}"/>
    <hyperlink ref="L918" r:id="rId904" tooltip="🔗 Ver Mapa" display="🔗 Ver Mapa" xr:uid="{00000000-0004-0000-0000-000087030000}"/>
    <hyperlink ref="L919" r:id="rId905" tooltip="🔗 Ver Mapa" display="🔗 Ver Mapa" xr:uid="{00000000-0004-0000-0000-000088030000}"/>
    <hyperlink ref="L920" r:id="rId906" tooltip="🔗 Ver Mapa" display="🔗 Ver Mapa" xr:uid="{00000000-0004-0000-0000-000089030000}"/>
    <hyperlink ref="L921" r:id="rId907" tooltip="🔗 Ver Mapa" display="🔗 Ver Mapa" xr:uid="{00000000-0004-0000-0000-00008A030000}"/>
    <hyperlink ref="L922" r:id="rId908" tooltip="🔗 Ver Mapa" display="🔗 Ver Mapa" xr:uid="{00000000-0004-0000-0000-00008B030000}"/>
    <hyperlink ref="L923" r:id="rId909" tooltip="🔗 Ver Mapa" display="🔗 Ver Mapa" xr:uid="{00000000-0004-0000-0000-00008C030000}"/>
    <hyperlink ref="L924" r:id="rId910" tooltip="🔗 Ver Mapa" display="🔗 Ver Mapa" xr:uid="{00000000-0004-0000-0000-00008D030000}"/>
    <hyperlink ref="L925" r:id="rId911" tooltip="🔗 Ver Mapa" display="🔗 Ver Mapa" xr:uid="{00000000-0004-0000-0000-00008E030000}"/>
    <hyperlink ref="L926" r:id="rId912" tooltip="🔗 Ver Mapa" display="🔗 Ver Mapa" xr:uid="{00000000-0004-0000-0000-00008F030000}"/>
    <hyperlink ref="L927" r:id="rId913" tooltip="🔗 Ver Mapa" display="🔗 Ver Mapa" xr:uid="{00000000-0004-0000-0000-000090030000}"/>
    <hyperlink ref="L928" r:id="rId914" tooltip="🔗 Ver Mapa" display="🔗 Ver Mapa" xr:uid="{00000000-0004-0000-0000-000091030000}"/>
    <hyperlink ref="L929" r:id="rId915" tooltip="🔗 Ver Mapa" display="🔗 Ver Mapa" xr:uid="{00000000-0004-0000-0000-000092030000}"/>
    <hyperlink ref="L930" r:id="rId916" tooltip="🔗 Ver Mapa" display="🔗 Ver Mapa" xr:uid="{00000000-0004-0000-0000-000093030000}"/>
    <hyperlink ref="L931" r:id="rId917" tooltip="🔗 Ver Mapa" display="🔗 Ver Mapa" xr:uid="{00000000-0004-0000-0000-000094030000}"/>
    <hyperlink ref="L932" r:id="rId918" tooltip="🔗 Ver Mapa" display="🔗 Ver Mapa" xr:uid="{00000000-0004-0000-0000-000095030000}"/>
    <hyperlink ref="L933" r:id="rId919" tooltip="🔗 Ver Mapa" display="🔗 Ver Mapa" xr:uid="{00000000-0004-0000-0000-000096030000}"/>
    <hyperlink ref="L934" r:id="rId920" tooltip="🔗 Ver Mapa" display="🔗 Ver Mapa" xr:uid="{00000000-0004-0000-0000-000097030000}"/>
    <hyperlink ref="L935" r:id="rId921" tooltip="🔗 Ver Mapa" display="🔗 Ver Mapa" xr:uid="{00000000-0004-0000-0000-000098030000}"/>
    <hyperlink ref="L936" r:id="rId922" tooltip="🔗 Ver Mapa" display="🔗 Ver Mapa" xr:uid="{00000000-0004-0000-0000-000099030000}"/>
    <hyperlink ref="L937" r:id="rId923" tooltip="🔗 Ver Mapa" display="🔗 Ver Mapa" xr:uid="{00000000-0004-0000-0000-00009A030000}"/>
    <hyperlink ref="L938" r:id="rId924" tooltip="🔗 Ver Mapa" display="🔗 Ver Mapa" xr:uid="{00000000-0004-0000-0000-00009B030000}"/>
    <hyperlink ref="L939" r:id="rId925" tooltip="🔗 Ver Mapa" display="🔗 Ver Mapa" xr:uid="{00000000-0004-0000-0000-00009C030000}"/>
    <hyperlink ref="L940" r:id="rId926" tooltip="🔗 Ver Mapa" display="🔗 Ver Mapa" xr:uid="{00000000-0004-0000-0000-00009D030000}"/>
    <hyperlink ref="L941" r:id="rId927" tooltip="🔗 Ver Mapa" display="🔗 Ver Mapa" xr:uid="{00000000-0004-0000-0000-00009E030000}"/>
    <hyperlink ref="L942" r:id="rId928" tooltip="🔗 Ver Mapa" display="🔗 Ver Mapa" xr:uid="{00000000-0004-0000-0000-00009F030000}"/>
    <hyperlink ref="L943" r:id="rId929" tooltip="🔗 Ver Mapa" display="🔗 Ver Mapa" xr:uid="{00000000-0004-0000-0000-0000A0030000}"/>
    <hyperlink ref="L944" r:id="rId930" tooltip="🔗 Ver Mapa" display="🔗 Ver Mapa" xr:uid="{00000000-0004-0000-0000-0000A1030000}"/>
    <hyperlink ref="L945" r:id="rId931" tooltip="🔗 Ver Mapa" display="🔗 Ver Mapa" xr:uid="{00000000-0004-0000-0000-0000A2030000}"/>
    <hyperlink ref="L946" r:id="rId932" tooltip="🔗 Ver Mapa" display="🔗 Ver Mapa" xr:uid="{00000000-0004-0000-0000-0000A3030000}"/>
    <hyperlink ref="L947" r:id="rId933" tooltip="🔗 Ver Mapa" display="🔗 Ver Mapa" xr:uid="{00000000-0004-0000-0000-0000A4030000}"/>
    <hyperlink ref="L948" r:id="rId934" tooltip="🔗 Ver Mapa" display="🔗 Ver Mapa" xr:uid="{00000000-0004-0000-0000-0000A5030000}"/>
    <hyperlink ref="L949" r:id="rId935" tooltip="🔗 Ver Mapa" display="🔗 Ver Mapa" xr:uid="{00000000-0004-0000-0000-0000A6030000}"/>
    <hyperlink ref="L950" r:id="rId936" tooltip="🔗 Ver Mapa" display="🔗 Ver Mapa" xr:uid="{00000000-0004-0000-0000-0000A7030000}"/>
    <hyperlink ref="L951" r:id="rId937" tooltip="🔗 Ver Mapa" display="🔗 Ver Mapa" xr:uid="{00000000-0004-0000-0000-0000A8030000}"/>
    <hyperlink ref="L952" r:id="rId938" tooltip="🔗 Ver Mapa" display="🔗 Ver Mapa" xr:uid="{00000000-0004-0000-0000-0000A9030000}"/>
    <hyperlink ref="L953" r:id="rId939" tooltip="🔗 Ver Mapa" display="🔗 Ver Mapa" xr:uid="{00000000-0004-0000-0000-0000AA030000}"/>
    <hyperlink ref="L954" r:id="rId940" tooltip="🔗 Ver Mapa" display="🔗 Ver Mapa" xr:uid="{00000000-0004-0000-0000-0000AB030000}"/>
    <hyperlink ref="L955" r:id="rId941" tooltip="🔗 Ver Mapa" display="🔗 Ver Mapa" xr:uid="{00000000-0004-0000-0000-0000AC030000}"/>
    <hyperlink ref="L956" r:id="rId942" tooltip="🔗 Ver Mapa" display="🔗 Ver Mapa" xr:uid="{00000000-0004-0000-0000-0000AD030000}"/>
    <hyperlink ref="L957" r:id="rId943" tooltip="🔗 Ver Mapa" display="🔗 Ver Mapa" xr:uid="{00000000-0004-0000-0000-0000AE030000}"/>
    <hyperlink ref="L958" r:id="rId944" tooltip="🔗 Ver Mapa" display="🔗 Ver Mapa" xr:uid="{00000000-0004-0000-0000-0000AF030000}"/>
    <hyperlink ref="L959" r:id="rId945" tooltip="🔗 Ver Mapa" display="🔗 Ver Mapa" xr:uid="{00000000-0004-0000-0000-0000B0030000}"/>
    <hyperlink ref="L960" r:id="rId946" tooltip="🔗 Ver Mapa" display="🔗 Ver Mapa" xr:uid="{00000000-0004-0000-0000-0000B1030000}"/>
    <hyperlink ref="L961" r:id="rId947" tooltip="🔗 Ver Mapa" display="🔗 Ver Mapa" xr:uid="{00000000-0004-0000-0000-0000B2030000}"/>
    <hyperlink ref="L962" r:id="rId948" tooltip="🔗 Ver Mapa" display="🔗 Ver Mapa" xr:uid="{00000000-0004-0000-0000-0000B3030000}"/>
    <hyperlink ref="L963" r:id="rId949" tooltip="🔗 Ver Mapa" display="🔗 Ver Mapa" xr:uid="{00000000-0004-0000-0000-0000B4030000}"/>
    <hyperlink ref="L964" r:id="rId950" tooltip="🔗 Ver Mapa" display="🔗 Ver Mapa" xr:uid="{00000000-0004-0000-0000-0000B5030000}"/>
    <hyperlink ref="L965" r:id="rId951" tooltip="🔗 Ver Mapa" display="🔗 Ver Mapa" xr:uid="{00000000-0004-0000-0000-0000B6030000}"/>
    <hyperlink ref="L966" r:id="rId952" tooltip="🔗 Ver Mapa" display="🔗 Ver Mapa" xr:uid="{00000000-0004-0000-0000-0000B7030000}"/>
    <hyperlink ref="L967" r:id="rId953" tooltip="🔗 Ver Mapa" display="🔗 Ver Mapa" xr:uid="{00000000-0004-0000-0000-0000B8030000}"/>
    <hyperlink ref="L968" r:id="rId954" tooltip="🔗 Ver Mapa" display="🔗 Ver Mapa" xr:uid="{00000000-0004-0000-0000-0000B9030000}"/>
    <hyperlink ref="L969" r:id="rId955" tooltip="🔗 Ver Mapa" display="🔗 Ver Mapa" xr:uid="{00000000-0004-0000-0000-0000BA030000}"/>
    <hyperlink ref="L970" r:id="rId956" tooltip="🔗 Ver Mapa" display="🔗 Ver Mapa" xr:uid="{00000000-0004-0000-0000-0000BB030000}"/>
    <hyperlink ref="L971" r:id="rId957" tooltip="🔗 Ver Mapa" display="🔗 Ver Mapa" xr:uid="{00000000-0004-0000-0000-0000BC030000}"/>
    <hyperlink ref="L972" r:id="rId958" tooltip="🔗 Ver Mapa" display="🔗 Ver Mapa" xr:uid="{00000000-0004-0000-0000-0000BD030000}"/>
    <hyperlink ref="L973" r:id="rId959" tooltip="🔗 Ver Mapa" display="🔗 Ver Mapa" xr:uid="{00000000-0004-0000-0000-0000BE030000}"/>
    <hyperlink ref="L974" r:id="rId960" tooltip="🔗 Ver Mapa" display="🔗 Ver Mapa" xr:uid="{00000000-0004-0000-0000-0000BF030000}"/>
    <hyperlink ref="L975" r:id="rId961" tooltip="🔗 Ver Mapa" display="🔗 Ver Mapa" xr:uid="{00000000-0004-0000-0000-0000C0030000}"/>
    <hyperlink ref="L976" r:id="rId962" tooltip="🔗 Ver Mapa" display="🔗 Ver Mapa" xr:uid="{00000000-0004-0000-0000-0000C1030000}"/>
    <hyperlink ref="L977" r:id="rId963" tooltip="🔗 Ver Mapa" display="🔗 Ver Mapa" xr:uid="{00000000-0004-0000-0000-0000C2030000}"/>
    <hyperlink ref="L978" r:id="rId964" tooltip="🔗 Ver Mapa" display="🔗 Ver Mapa" xr:uid="{00000000-0004-0000-0000-0000C3030000}"/>
    <hyperlink ref="L979" r:id="rId965" tooltip="🔗 Ver Mapa" display="🔗 Ver Mapa" xr:uid="{00000000-0004-0000-0000-0000C4030000}"/>
    <hyperlink ref="L980" r:id="rId966" tooltip="🔗 Ver Mapa" display="🔗 Ver Mapa" xr:uid="{00000000-0004-0000-0000-0000C5030000}"/>
    <hyperlink ref="L981" r:id="rId967" tooltip="🔗 Ver Mapa" display="🔗 Ver Mapa" xr:uid="{00000000-0004-0000-0000-0000C6030000}"/>
    <hyperlink ref="L982" r:id="rId968" tooltip="🔗 Ver Mapa" display="🔗 Ver Mapa" xr:uid="{00000000-0004-0000-0000-0000C7030000}"/>
    <hyperlink ref="L983" r:id="rId969" tooltip="🔗 Ver Mapa" display="🔗 Ver Mapa" xr:uid="{00000000-0004-0000-0000-0000C8030000}"/>
    <hyperlink ref="L984" r:id="rId970" tooltip="🔗 Ver Mapa" display="🔗 Ver Mapa" xr:uid="{00000000-0004-0000-0000-0000C9030000}"/>
    <hyperlink ref="L985" r:id="rId971" tooltip="🔗 Ver Mapa" display="🔗 Ver Mapa" xr:uid="{00000000-0004-0000-0000-0000CA030000}"/>
    <hyperlink ref="L986" r:id="rId972" tooltip="🔗 Ver Mapa" display="🔗 Ver Mapa" xr:uid="{00000000-0004-0000-0000-0000CB030000}"/>
    <hyperlink ref="L987" r:id="rId973" tooltip="🔗 Ver Mapa" display="🔗 Ver Mapa" xr:uid="{00000000-0004-0000-0000-0000CC030000}"/>
    <hyperlink ref="L988" r:id="rId974" tooltip="🔗 Ver Mapa" display="🔗 Ver Mapa" xr:uid="{00000000-0004-0000-0000-0000CD030000}"/>
    <hyperlink ref="L989" r:id="rId975" tooltip="🔗 Ver Mapa" display="🔗 Ver Mapa" xr:uid="{00000000-0004-0000-0000-0000CE030000}"/>
    <hyperlink ref="L990" r:id="rId976" tooltip="🔗 Ver Mapa" display="🔗 Ver Mapa" xr:uid="{00000000-0004-0000-0000-0000CF030000}"/>
    <hyperlink ref="L991" r:id="rId977" tooltip="🔗 Ver Mapa" display="🔗 Ver Mapa" xr:uid="{00000000-0004-0000-0000-0000D0030000}"/>
    <hyperlink ref="L992" r:id="rId978" tooltip="🔗 Ver Mapa" display="🔗 Ver Mapa" xr:uid="{00000000-0004-0000-0000-0000D1030000}"/>
    <hyperlink ref="L993" r:id="rId979" tooltip="🔗 Ver Mapa" display="🔗 Ver Mapa" xr:uid="{00000000-0004-0000-0000-0000D2030000}"/>
    <hyperlink ref="L994" r:id="rId980" tooltip="🔗 Ver Mapa" display="🔗 Ver Mapa" xr:uid="{00000000-0004-0000-0000-0000D3030000}"/>
    <hyperlink ref="L995" r:id="rId981" tooltip="🔗 Ver Mapa" display="🔗 Ver Mapa" xr:uid="{00000000-0004-0000-0000-0000D4030000}"/>
    <hyperlink ref="L996" r:id="rId982" tooltip="🔗 Ver Mapa" display="🔗 Ver Mapa" xr:uid="{00000000-0004-0000-0000-0000D5030000}"/>
    <hyperlink ref="L997" r:id="rId983" tooltip="🔗 Ver Mapa" display="🔗 Ver Mapa" xr:uid="{00000000-0004-0000-0000-0000D6030000}"/>
    <hyperlink ref="L998" r:id="rId984" tooltip="🔗 Ver Mapa" display="🔗 Ver Mapa" xr:uid="{00000000-0004-0000-0000-0000D7030000}"/>
    <hyperlink ref="L999" r:id="rId985" tooltip="🔗 Ver Mapa" display="🔗 Ver Mapa" xr:uid="{00000000-0004-0000-0000-0000D8030000}"/>
    <hyperlink ref="L1001" r:id="rId986" tooltip="🔗 Ver Mapa" display="🔗 Ver Mapa" xr:uid="{00000000-0004-0000-0000-0000D9030000}"/>
    <hyperlink ref="L1002" r:id="rId987" tooltip="🔗 Ver Mapa" display="🔗 Ver Mapa" xr:uid="{00000000-0004-0000-0000-0000DA030000}"/>
    <hyperlink ref="L1003" r:id="rId988" tooltip="🔗 Ver Mapa" display="🔗 Ver Mapa" xr:uid="{00000000-0004-0000-0000-0000DB030000}"/>
    <hyperlink ref="L1004" r:id="rId989" tooltip="🔗 Ver Mapa" display="🔗 Ver Mapa" xr:uid="{00000000-0004-0000-0000-0000DC030000}"/>
    <hyperlink ref="L1005" r:id="rId990" tooltip="🔗 Ver Mapa" display="🔗 Ver Mapa" xr:uid="{00000000-0004-0000-0000-0000DD030000}"/>
    <hyperlink ref="L1006" r:id="rId991" tooltip="🔗 Ver Mapa" display="🔗 Ver Mapa" xr:uid="{00000000-0004-0000-0000-0000DE030000}"/>
    <hyperlink ref="L1007" r:id="rId992" tooltip="🔗 Ver Mapa" display="🔗 Ver Mapa" xr:uid="{00000000-0004-0000-0000-0000DF030000}"/>
    <hyperlink ref="L1008" r:id="rId993" tooltip="🔗 Ver Mapa" display="🔗 Ver Mapa" xr:uid="{00000000-0004-0000-0000-0000E0030000}"/>
    <hyperlink ref="L1009" r:id="rId994" tooltip="🔗 Ver Mapa" display="🔗 Ver Mapa" xr:uid="{00000000-0004-0000-0000-0000E1030000}"/>
    <hyperlink ref="L1010" r:id="rId995" tooltip="🔗 Ver Mapa" display="🔗 Ver Mapa" xr:uid="{00000000-0004-0000-0000-0000E2030000}"/>
    <hyperlink ref="L1011" r:id="rId996" tooltip="🔗 Ver Mapa" display="🔗 Ver Mapa" xr:uid="{00000000-0004-0000-0000-0000E3030000}"/>
    <hyperlink ref="L1012" r:id="rId997" tooltip="🔗 Ver Mapa" display="🔗 Ver Mapa" xr:uid="{00000000-0004-0000-0000-0000E4030000}"/>
    <hyperlink ref="L1013" r:id="rId998" tooltip="🔗 Ver Mapa" display="🔗 Ver Mapa" xr:uid="{00000000-0004-0000-0000-0000E5030000}"/>
    <hyperlink ref="L1014" r:id="rId999" tooltip="🔗 Ver Mapa" display="🔗 Ver Mapa" xr:uid="{00000000-0004-0000-0000-0000E6030000}"/>
    <hyperlink ref="L1015" r:id="rId1000" tooltip="🔗 Ver Mapa" display="🔗 Ver Mapa" xr:uid="{00000000-0004-0000-0000-0000E7030000}"/>
    <hyperlink ref="L1016" r:id="rId1001" tooltip="🔗 Ver Mapa" display="🔗 Ver Mapa" xr:uid="{00000000-0004-0000-0000-0000E8030000}"/>
    <hyperlink ref="L1017" r:id="rId1002" tooltip="🔗 Ver Mapa" display="🔗 Ver Mapa" xr:uid="{00000000-0004-0000-0000-0000E9030000}"/>
    <hyperlink ref="L1018" r:id="rId1003" tooltip="🔗 Ver Mapa" display="🔗 Ver Mapa" xr:uid="{00000000-0004-0000-0000-0000EA030000}"/>
    <hyperlink ref="L1019" r:id="rId1004" tooltip="🔗 Ver Mapa" display="🔗 Ver Mapa" xr:uid="{00000000-0004-0000-0000-0000EB030000}"/>
    <hyperlink ref="L1020" r:id="rId1005" tooltip="🔗 Ver Mapa" display="🔗 Ver Mapa" xr:uid="{00000000-0004-0000-0000-0000EC030000}"/>
    <hyperlink ref="L1021" r:id="rId1006" tooltip="🔗 Ver Mapa" display="🔗 Ver Mapa" xr:uid="{00000000-0004-0000-0000-0000ED030000}"/>
    <hyperlink ref="L1022" r:id="rId1007" tooltip="🔗 Ver Mapa" display="🔗 Ver Mapa" xr:uid="{00000000-0004-0000-0000-0000EE030000}"/>
    <hyperlink ref="L1023" r:id="rId1008" tooltip="🔗 Ver Mapa" display="🔗 Ver Mapa" xr:uid="{00000000-0004-0000-0000-0000EF030000}"/>
    <hyperlink ref="L1024" r:id="rId1009" tooltip="🔗 Ver Mapa" display="🔗 Ver Mapa" xr:uid="{00000000-0004-0000-0000-0000F0030000}"/>
    <hyperlink ref="L1025" r:id="rId1010" tooltip="🔗 Ver Mapa" display="🔗 Ver Mapa" xr:uid="{00000000-0004-0000-0000-0000F1030000}"/>
    <hyperlink ref="L1026" r:id="rId1011" tooltip="🔗 Ver Mapa" display="🔗 Ver Mapa" xr:uid="{00000000-0004-0000-0000-0000F2030000}"/>
    <hyperlink ref="L1027" r:id="rId1012" tooltip="🔗 Ver Mapa" display="🔗 Ver Mapa" xr:uid="{00000000-0004-0000-0000-0000F3030000}"/>
    <hyperlink ref="L1028" r:id="rId1013" tooltip="🔗 Ver Mapa" display="🔗 Ver Mapa" xr:uid="{00000000-0004-0000-0000-0000F4030000}"/>
    <hyperlink ref="L1029" r:id="rId1014" tooltip="🔗 Ver Mapa" display="🔗 Ver Mapa" xr:uid="{00000000-0004-0000-0000-0000F5030000}"/>
    <hyperlink ref="L1030" r:id="rId1015" tooltip="🔗 Ver Mapa" display="🔗 Ver Mapa" xr:uid="{00000000-0004-0000-0000-0000F6030000}"/>
    <hyperlink ref="L1031" r:id="rId1016" tooltip="🔗 Ver Mapa" display="🔗 Ver Mapa" xr:uid="{00000000-0004-0000-0000-0000F7030000}"/>
    <hyperlink ref="L1032" r:id="rId1017" tooltip="🔗 Ver Mapa" display="🔗 Ver Mapa" xr:uid="{00000000-0004-0000-0000-0000F8030000}"/>
    <hyperlink ref="L1033" r:id="rId1018" tooltip="🔗 Ver Mapa" display="🔗 Ver Mapa" xr:uid="{00000000-0004-0000-0000-0000F9030000}"/>
    <hyperlink ref="L1034" r:id="rId1019" tooltip="🔗 Ver Mapa" display="🔗 Ver Mapa" xr:uid="{00000000-0004-0000-0000-0000FA030000}"/>
    <hyperlink ref="L1035" r:id="rId1020" tooltip="🔗 Ver Mapa" display="🔗 Ver Mapa" xr:uid="{00000000-0004-0000-0000-0000FB030000}"/>
    <hyperlink ref="L1036" r:id="rId1021" tooltip="🔗 Ver Mapa" display="🔗 Ver Mapa" xr:uid="{00000000-0004-0000-0000-0000FC030000}"/>
    <hyperlink ref="L1037" r:id="rId1022" tooltip="🔗 Ver Mapa" display="🔗 Ver Mapa" xr:uid="{00000000-0004-0000-0000-0000FD030000}"/>
    <hyperlink ref="L1038" r:id="rId1023" tooltip="🔗 Ver Mapa" display="🔗 Ver Mapa" xr:uid="{00000000-0004-0000-0000-0000FE030000}"/>
    <hyperlink ref="L1039" r:id="rId1024" tooltip="🔗 Ver Mapa" display="🔗 Ver Mapa" xr:uid="{00000000-0004-0000-0000-0000FF030000}"/>
    <hyperlink ref="L1040" r:id="rId1025" tooltip="🔗 Ver Mapa" display="🔗 Ver Mapa" xr:uid="{00000000-0004-0000-0000-000000040000}"/>
    <hyperlink ref="L1041" r:id="rId1026" tooltip="🔗 Ver Mapa" display="🔗 Ver Mapa" xr:uid="{00000000-0004-0000-0000-000001040000}"/>
    <hyperlink ref="L1042" r:id="rId1027" tooltip="🔗 Ver Mapa" display="🔗 Ver Mapa" xr:uid="{00000000-0004-0000-0000-000002040000}"/>
    <hyperlink ref="L1043" r:id="rId1028" tooltip="🔗 Ver Mapa" display="🔗 Ver Mapa" xr:uid="{00000000-0004-0000-0000-000003040000}"/>
    <hyperlink ref="L1044" r:id="rId1029" tooltip="🔗 Ver Mapa" display="🔗 Ver Mapa" xr:uid="{00000000-0004-0000-0000-000004040000}"/>
    <hyperlink ref="L1045" r:id="rId1030" tooltip="🔗 Ver Mapa" display="🔗 Ver Mapa" xr:uid="{00000000-0004-0000-0000-000005040000}"/>
    <hyperlink ref="L1046" r:id="rId1031" tooltip="🔗 Ver Mapa" display="🔗 Ver Mapa" xr:uid="{00000000-0004-0000-0000-000006040000}"/>
    <hyperlink ref="L1047" r:id="rId1032" tooltip="🔗 Ver Mapa" display="🔗 Ver Mapa" xr:uid="{00000000-0004-0000-0000-000007040000}"/>
    <hyperlink ref="L1048" r:id="rId1033" tooltip="🔗 Ver Mapa" display="🔗 Ver Mapa" xr:uid="{00000000-0004-0000-0000-000008040000}"/>
    <hyperlink ref="L1049" r:id="rId1034" tooltip="🔗 Ver Mapa" display="🔗 Ver Mapa" xr:uid="{00000000-0004-0000-0000-000009040000}"/>
    <hyperlink ref="L1050" r:id="rId1035" tooltip="🔗 Ver Mapa" display="🔗 Ver Mapa" xr:uid="{00000000-0004-0000-0000-00000A040000}"/>
    <hyperlink ref="L1051" r:id="rId1036" tooltip="🔗 Ver Mapa" display="🔗 Ver Mapa" xr:uid="{00000000-0004-0000-0000-00000B040000}"/>
    <hyperlink ref="L1052" r:id="rId1037" tooltip="🔗 Ver Mapa" display="🔗 Ver Mapa" xr:uid="{00000000-0004-0000-0000-00000C040000}"/>
    <hyperlink ref="L1053" r:id="rId1038" tooltip="🔗 Ver Mapa" display="🔗 Ver Mapa" xr:uid="{00000000-0004-0000-0000-00000D040000}"/>
    <hyperlink ref="L1054" r:id="rId1039" tooltip="🔗 Ver Mapa" display="🔗 Ver Mapa" xr:uid="{00000000-0004-0000-0000-00000E040000}"/>
    <hyperlink ref="L1055" r:id="rId1040" tooltip="🔗 Ver Mapa" display="🔗 Ver Mapa" xr:uid="{00000000-0004-0000-0000-00000F040000}"/>
    <hyperlink ref="L1056" r:id="rId1041" tooltip="🔗 Ver Mapa" display="🔗 Ver Mapa" xr:uid="{00000000-0004-0000-0000-000010040000}"/>
    <hyperlink ref="L1057" r:id="rId1042" tooltip="🔗 Ver Mapa" display="🔗 Ver Mapa" xr:uid="{00000000-0004-0000-0000-000011040000}"/>
    <hyperlink ref="L1058" r:id="rId1043" tooltip="🔗 Ver Mapa" display="🔗 Ver Mapa" xr:uid="{00000000-0004-0000-0000-000012040000}"/>
    <hyperlink ref="L1059" r:id="rId1044" tooltip="🔗 Ver Mapa" display="🔗 Ver Mapa" xr:uid="{00000000-0004-0000-0000-000013040000}"/>
    <hyperlink ref="L1060" r:id="rId1045" tooltip="🔗 Ver Mapa" display="🔗 Ver Mapa" xr:uid="{00000000-0004-0000-0000-000014040000}"/>
    <hyperlink ref="L1061" r:id="rId1046" tooltip="🔗 Ver Mapa" display="🔗 Ver Mapa" xr:uid="{00000000-0004-0000-0000-000015040000}"/>
    <hyperlink ref="L1062" r:id="rId1047" tooltip="🔗 Ver Mapa" display="🔗 Ver Mapa" xr:uid="{00000000-0004-0000-0000-000016040000}"/>
    <hyperlink ref="L1063" r:id="rId1048" tooltip="🔗 Ver Mapa" display="🔗 Ver Mapa" xr:uid="{00000000-0004-0000-0000-000017040000}"/>
    <hyperlink ref="L1064" r:id="rId1049" tooltip="🔗 Ver Mapa" display="🔗 Ver Mapa" xr:uid="{00000000-0004-0000-0000-000018040000}"/>
    <hyperlink ref="L1065" r:id="rId1050" tooltip="🔗 Ver Mapa" display="🔗 Ver Mapa" xr:uid="{00000000-0004-0000-0000-000019040000}"/>
    <hyperlink ref="L1066" r:id="rId1051" tooltip="🔗 Ver Mapa" display="🔗 Ver Mapa" xr:uid="{00000000-0004-0000-0000-00001A040000}"/>
    <hyperlink ref="L1067" r:id="rId1052" tooltip="🔗 Ver Mapa" display="🔗 Ver Mapa" xr:uid="{00000000-0004-0000-0000-00001B040000}"/>
    <hyperlink ref="L1068" r:id="rId1053" tooltip="🔗 Ver Mapa" display="🔗 Ver Mapa" xr:uid="{00000000-0004-0000-0000-00001C040000}"/>
    <hyperlink ref="L1069" r:id="rId1054" tooltip="🔗 Ver Mapa" display="🔗 Ver Mapa" xr:uid="{00000000-0004-0000-0000-00001D040000}"/>
    <hyperlink ref="L1070" r:id="rId1055" tooltip="🔗 Ver Mapa" display="🔗 Ver Mapa" xr:uid="{00000000-0004-0000-0000-00001E040000}"/>
    <hyperlink ref="L1071" r:id="rId1056" tooltip="🔗 Ver Mapa" display="🔗 Ver Mapa" xr:uid="{00000000-0004-0000-0000-00001F040000}"/>
    <hyperlink ref="L1072" r:id="rId1057" tooltip="🔗 Ver Mapa" display="🔗 Ver Mapa" xr:uid="{00000000-0004-0000-0000-000020040000}"/>
    <hyperlink ref="L1073" r:id="rId1058" tooltip="🔗 Ver Mapa" display="🔗 Ver Mapa" xr:uid="{00000000-0004-0000-0000-000021040000}"/>
    <hyperlink ref="L1074" r:id="rId1059" tooltip="🔗 Ver Mapa" display="🔗 Ver Mapa" xr:uid="{00000000-0004-0000-0000-000022040000}"/>
    <hyperlink ref="L1075" r:id="rId1060" tooltip="🔗 Ver Mapa" display="🔗 Ver Mapa" xr:uid="{00000000-0004-0000-0000-000023040000}"/>
    <hyperlink ref="L1076" r:id="rId1061" tooltip="🔗 Ver Mapa" display="🔗 Ver Mapa" xr:uid="{00000000-0004-0000-0000-000024040000}"/>
    <hyperlink ref="L1077" r:id="rId1062" tooltip="🔗 Ver Mapa" display="🔗 Ver Mapa" xr:uid="{00000000-0004-0000-0000-000025040000}"/>
    <hyperlink ref="L1078" r:id="rId1063" tooltip="🔗 Ver Mapa" display="🔗 Ver Mapa" xr:uid="{00000000-0004-0000-0000-000026040000}"/>
    <hyperlink ref="L1079" r:id="rId1064" tooltip="🔗 Ver Mapa" display="🔗 Ver Mapa" xr:uid="{00000000-0004-0000-0000-000027040000}"/>
    <hyperlink ref="L1080" r:id="rId1065" tooltip="🔗 Ver Mapa" display="🔗 Ver Mapa" xr:uid="{00000000-0004-0000-0000-000028040000}"/>
    <hyperlink ref="L1081" r:id="rId1066" tooltip="🔗 Ver Mapa" display="🔗 Ver Mapa" xr:uid="{00000000-0004-0000-0000-000029040000}"/>
    <hyperlink ref="L1082" r:id="rId1067" tooltip="🔗 Ver Mapa" display="🔗 Ver Mapa" xr:uid="{00000000-0004-0000-0000-00002A040000}"/>
    <hyperlink ref="L1083" r:id="rId1068" tooltip="🔗 Ver Mapa" display="🔗 Ver Mapa" xr:uid="{00000000-0004-0000-0000-00002B040000}"/>
    <hyperlink ref="L1084" r:id="rId1069" tooltip="🔗 Ver Mapa" display="🔗 Ver Mapa" xr:uid="{00000000-0004-0000-0000-00002C040000}"/>
    <hyperlink ref="L1085" r:id="rId1070" tooltip="🔗 Ver Mapa" display="🔗 Ver Mapa" xr:uid="{00000000-0004-0000-0000-00002D040000}"/>
    <hyperlink ref="L1086" r:id="rId1071" tooltip="🔗 Ver Mapa" display="🔗 Ver Mapa" xr:uid="{00000000-0004-0000-0000-00002E040000}"/>
    <hyperlink ref="L1087" r:id="rId1072" tooltip="🔗 Ver Mapa" display="🔗 Ver Mapa" xr:uid="{00000000-0004-0000-0000-00002F040000}"/>
    <hyperlink ref="L1088" r:id="rId1073" tooltip="🔗 Ver Mapa" display="🔗 Ver Mapa" xr:uid="{00000000-0004-0000-0000-000030040000}"/>
    <hyperlink ref="L1089" r:id="rId1074" tooltip="🔗 Ver Mapa" display="🔗 Ver Mapa" xr:uid="{00000000-0004-0000-0000-000031040000}"/>
    <hyperlink ref="L1090" r:id="rId1075" tooltip="🔗 Ver Mapa" display="🔗 Ver Mapa" xr:uid="{00000000-0004-0000-0000-000032040000}"/>
    <hyperlink ref="L1091" r:id="rId1076" tooltip="🔗 Ver Mapa" display="🔗 Ver Mapa" xr:uid="{00000000-0004-0000-0000-000033040000}"/>
    <hyperlink ref="L1092" r:id="rId1077" tooltip="🔗 Ver Mapa" display="🔗 Ver Mapa" xr:uid="{00000000-0004-0000-0000-000034040000}"/>
    <hyperlink ref="L1093" r:id="rId1078" tooltip="🔗 Ver Mapa" display="🔗 Ver Mapa" xr:uid="{00000000-0004-0000-0000-000035040000}"/>
    <hyperlink ref="L1094" r:id="rId1079" tooltip="🔗 Ver Mapa" display="🔗 Ver Mapa" xr:uid="{00000000-0004-0000-0000-000036040000}"/>
    <hyperlink ref="L1095" r:id="rId1080" tooltip="🔗 Ver Mapa" display="🔗 Ver Mapa" xr:uid="{00000000-0004-0000-0000-000037040000}"/>
    <hyperlink ref="L1096" r:id="rId1081" tooltip="🔗 Ver Mapa" display="🔗 Ver Mapa" xr:uid="{00000000-0004-0000-0000-000038040000}"/>
    <hyperlink ref="L1097" r:id="rId1082" tooltip="🔗 Ver Mapa" display="🔗 Ver Mapa" xr:uid="{00000000-0004-0000-0000-000039040000}"/>
    <hyperlink ref="L1098" r:id="rId1083" tooltip="🔗 Ver Mapa" display="🔗 Ver Mapa" xr:uid="{00000000-0004-0000-0000-00003A040000}"/>
    <hyperlink ref="L1099" r:id="rId1084" tooltip="🔗 Ver Mapa" display="🔗 Ver Mapa" xr:uid="{00000000-0004-0000-0000-00003B040000}"/>
    <hyperlink ref="L1100" r:id="rId1085" tooltip="🔗 Ver Mapa" display="🔗 Ver Mapa" xr:uid="{00000000-0004-0000-0000-00003C040000}"/>
    <hyperlink ref="L1101" r:id="rId1086" tooltip="🔗 Ver Mapa" display="🔗 Ver Mapa" xr:uid="{00000000-0004-0000-0000-00003D040000}"/>
    <hyperlink ref="L1102" r:id="rId1087" tooltip="🔗 Ver Mapa" display="🔗 Ver Mapa" xr:uid="{00000000-0004-0000-0000-00003E040000}"/>
    <hyperlink ref="L1103" r:id="rId1088" tooltip="🔗 Ver Mapa" display="🔗 Ver Mapa" xr:uid="{00000000-0004-0000-0000-00003F040000}"/>
    <hyperlink ref="L1104" r:id="rId1089" tooltip="🔗 Ver Mapa" display="🔗 Ver Mapa" xr:uid="{00000000-0004-0000-0000-000040040000}"/>
    <hyperlink ref="L1105" r:id="rId1090" tooltip="🔗 Ver Mapa" display="🔗 Ver Mapa" xr:uid="{00000000-0004-0000-0000-000041040000}"/>
    <hyperlink ref="L1106" r:id="rId1091" tooltip="🔗 Ver Mapa" display="🔗 Ver Mapa" xr:uid="{00000000-0004-0000-0000-000042040000}"/>
    <hyperlink ref="L1107" r:id="rId1092" tooltip="🔗 Ver Mapa" display="🔗 Ver Mapa" xr:uid="{00000000-0004-0000-0000-000043040000}"/>
    <hyperlink ref="L1108" r:id="rId1093" tooltip="🔗 Ver Mapa" display="🔗 Ver Mapa" xr:uid="{00000000-0004-0000-0000-000044040000}"/>
    <hyperlink ref="L1109" r:id="rId1094" tooltip="🔗 Ver Mapa" display="🔗 Ver Mapa" xr:uid="{00000000-0004-0000-0000-000045040000}"/>
    <hyperlink ref="L1110" r:id="rId1095" tooltip="🔗 Ver Mapa" display="🔗 Ver Mapa" xr:uid="{00000000-0004-0000-0000-000046040000}"/>
    <hyperlink ref="L1111" r:id="rId1096" tooltip="🔗 Ver Mapa" display="🔗 Ver Mapa" xr:uid="{00000000-0004-0000-0000-000047040000}"/>
    <hyperlink ref="L1112" r:id="rId1097" tooltip="🔗 Ver Mapa" display="🔗 Ver Mapa" xr:uid="{00000000-0004-0000-0000-000048040000}"/>
    <hyperlink ref="L1113" r:id="rId1098" tooltip="🔗 Ver Mapa" display="🔗 Ver Mapa" xr:uid="{00000000-0004-0000-0000-000049040000}"/>
    <hyperlink ref="L1114" r:id="rId1099" tooltip="🔗 Ver Mapa" display="🔗 Ver Mapa" xr:uid="{00000000-0004-0000-0000-00004A040000}"/>
    <hyperlink ref="L1115" r:id="rId1100" tooltip="🔗 Ver Mapa" display="🔗 Ver Mapa" xr:uid="{00000000-0004-0000-0000-00004B040000}"/>
    <hyperlink ref="L1116" r:id="rId1101" tooltip="🔗 Ver Mapa" display="🔗 Ver Mapa" xr:uid="{00000000-0004-0000-0000-00004C040000}"/>
    <hyperlink ref="L1117" r:id="rId1102" tooltip="🔗 Ver Mapa" display="🔗 Ver Mapa" xr:uid="{00000000-0004-0000-0000-00004D040000}"/>
    <hyperlink ref="L1118" r:id="rId1103" tooltip="🔗 Ver Mapa" display="🔗 Ver Mapa" xr:uid="{00000000-0004-0000-0000-00004E040000}"/>
    <hyperlink ref="L1119" r:id="rId1104" tooltip="🔗 Ver Mapa" display="🔗 Ver Mapa" xr:uid="{00000000-0004-0000-0000-00004F040000}"/>
    <hyperlink ref="L1120" r:id="rId1105" tooltip="🔗 Ver Mapa" display="🔗 Ver Mapa" xr:uid="{00000000-0004-0000-0000-000050040000}"/>
    <hyperlink ref="L1121" r:id="rId1106" tooltip="🔗 Ver Mapa" display="🔗 Ver Mapa" xr:uid="{00000000-0004-0000-0000-000051040000}"/>
    <hyperlink ref="L1122" r:id="rId1107" tooltip="🔗 Ver Mapa" display="🔗 Ver Mapa" xr:uid="{00000000-0004-0000-0000-000052040000}"/>
    <hyperlink ref="L1123" r:id="rId1108" tooltip="🔗 Ver Mapa" display="🔗 Ver Mapa" xr:uid="{00000000-0004-0000-0000-000053040000}"/>
    <hyperlink ref="L1124" r:id="rId1109" tooltip="🔗 Ver Mapa" display="🔗 Ver Mapa" xr:uid="{00000000-0004-0000-0000-000054040000}"/>
    <hyperlink ref="L1125" r:id="rId1110" tooltip="🔗 Ver Mapa" display="🔗 Ver Mapa" xr:uid="{00000000-0004-0000-0000-000055040000}"/>
    <hyperlink ref="L1126" r:id="rId1111" tooltip="🔗 Ver Mapa" display="🔗 Ver Mapa" xr:uid="{00000000-0004-0000-0000-000056040000}"/>
    <hyperlink ref="L1127" r:id="rId1112" tooltip="🔗 Ver Mapa" display="🔗 Ver Mapa" xr:uid="{00000000-0004-0000-0000-000057040000}"/>
    <hyperlink ref="L1128" r:id="rId1113" tooltip="🔗 Ver Mapa" display="🔗 Ver Mapa" xr:uid="{00000000-0004-0000-0000-000058040000}"/>
    <hyperlink ref="L1129" r:id="rId1114" tooltip="🔗 Ver Mapa" display="🔗 Ver Mapa" xr:uid="{00000000-0004-0000-0000-000059040000}"/>
    <hyperlink ref="L1130" r:id="rId1115" tooltip="🔗 Ver Mapa" display="🔗 Ver Mapa" xr:uid="{00000000-0004-0000-0000-00005A040000}"/>
    <hyperlink ref="L1131" r:id="rId1116" tooltip="🔗 Ver Mapa" display="🔗 Ver Mapa" xr:uid="{00000000-0004-0000-0000-00005B040000}"/>
    <hyperlink ref="L1132" r:id="rId1117" tooltip="🔗 Ver Mapa" display="🔗 Ver Mapa" xr:uid="{00000000-0004-0000-0000-00005C040000}"/>
    <hyperlink ref="L1133" r:id="rId1118" tooltip="🔗 Ver Mapa" display="🔗 Ver Mapa" xr:uid="{00000000-0004-0000-0000-00005D040000}"/>
    <hyperlink ref="L1134" r:id="rId1119" tooltip="🔗 Ver Mapa" display="🔗 Ver Mapa" xr:uid="{00000000-0004-0000-0000-00005E040000}"/>
    <hyperlink ref="L1135" r:id="rId1120" tooltip="🔗 Ver Mapa" display="🔗 Ver Mapa" xr:uid="{00000000-0004-0000-0000-00005F040000}"/>
    <hyperlink ref="L1136" r:id="rId1121" tooltip="🔗 Ver Mapa" display="🔗 Ver Mapa" xr:uid="{00000000-0004-0000-0000-000060040000}"/>
    <hyperlink ref="L1137" r:id="rId1122" tooltip="🔗 Ver Mapa" display="🔗 Ver Mapa" xr:uid="{00000000-0004-0000-0000-000061040000}"/>
    <hyperlink ref="L1138" r:id="rId1123" tooltip="🔗 Ver Mapa" display="🔗 Ver Mapa" xr:uid="{00000000-0004-0000-0000-000062040000}"/>
    <hyperlink ref="L1139" r:id="rId1124" tooltip="🔗 Ver Mapa" display="🔗 Ver Mapa" xr:uid="{00000000-0004-0000-0000-000063040000}"/>
    <hyperlink ref="L1140" r:id="rId1125" tooltip="🔗 Ver Mapa" display="🔗 Ver Mapa" xr:uid="{00000000-0004-0000-0000-000064040000}"/>
    <hyperlink ref="L1141" r:id="rId1126" tooltip="🔗 Ver Mapa" display="🔗 Ver Mapa" xr:uid="{00000000-0004-0000-0000-000065040000}"/>
    <hyperlink ref="L1142" r:id="rId1127" tooltip="🔗 Ver Mapa" display="🔗 Ver Mapa" xr:uid="{00000000-0004-0000-0000-000066040000}"/>
    <hyperlink ref="L1143" r:id="rId1128" tooltip="🔗 Ver Mapa" display="🔗 Ver Mapa" xr:uid="{00000000-0004-0000-0000-000067040000}"/>
    <hyperlink ref="L1144" r:id="rId1129" tooltip="🔗 Ver Mapa" display="🔗 Ver Mapa" xr:uid="{00000000-0004-0000-0000-000068040000}"/>
    <hyperlink ref="L1145" r:id="rId1130" tooltip="🔗 Ver Mapa" display="🔗 Ver Mapa" xr:uid="{00000000-0004-0000-0000-000069040000}"/>
    <hyperlink ref="L1146" r:id="rId1131" tooltip="🔗 Ver Mapa" display="🔗 Ver Mapa" xr:uid="{00000000-0004-0000-0000-00006A040000}"/>
    <hyperlink ref="L1147" r:id="rId1132" tooltip="🔗 Ver Mapa" display="🔗 Ver Mapa" xr:uid="{00000000-0004-0000-0000-00006B040000}"/>
    <hyperlink ref="L1148" r:id="rId1133" tooltip="🔗 Ver Mapa" display="🔗 Ver Mapa" xr:uid="{00000000-0004-0000-0000-00006C040000}"/>
    <hyperlink ref="L1149" r:id="rId1134" tooltip="🔗 Ver Mapa" display="🔗 Ver Mapa" xr:uid="{00000000-0004-0000-0000-00006D040000}"/>
    <hyperlink ref="L1150" r:id="rId1135" tooltip="🔗 Ver Mapa" display="🔗 Ver Mapa" xr:uid="{00000000-0004-0000-0000-00006E040000}"/>
    <hyperlink ref="L1151" r:id="rId1136" tooltip="🔗 Ver Mapa" display="🔗 Ver Mapa" xr:uid="{00000000-0004-0000-0000-00006F040000}"/>
    <hyperlink ref="L1152" r:id="rId1137" tooltip="🔗 Ver Mapa" display="🔗 Ver Mapa" xr:uid="{00000000-0004-0000-0000-000070040000}"/>
    <hyperlink ref="L1153" r:id="rId1138" tooltip="🔗 Ver Mapa" display="🔗 Ver Mapa" xr:uid="{00000000-0004-0000-0000-000071040000}"/>
    <hyperlink ref="L1154" r:id="rId1139" tooltip="🔗 Ver Mapa" display="🔗 Ver Mapa" xr:uid="{00000000-0004-0000-0000-000072040000}"/>
    <hyperlink ref="L1155" r:id="rId1140" tooltip="🔗 Ver Mapa" display="🔗 Ver Mapa" xr:uid="{00000000-0004-0000-0000-000073040000}"/>
    <hyperlink ref="L1156" r:id="rId1141" tooltip="🔗 Ver Mapa" display="🔗 Ver Mapa" xr:uid="{00000000-0004-0000-0000-000074040000}"/>
    <hyperlink ref="L1157" r:id="rId1142" tooltip="🔗 Ver Mapa" display="🔗 Ver Mapa" xr:uid="{00000000-0004-0000-0000-000075040000}"/>
    <hyperlink ref="L1158" r:id="rId1143" tooltip="🔗 Ver Mapa" display="🔗 Ver Mapa" xr:uid="{00000000-0004-0000-0000-000076040000}"/>
    <hyperlink ref="L1159" r:id="rId1144" tooltip="🔗 Ver Mapa" display="🔗 Ver Mapa" xr:uid="{00000000-0004-0000-0000-000077040000}"/>
    <hyperlink ref="L1160" r:id="rId1145" tooltip="🔗 Ver Mapa" display="🔗 Ver Mapa" xr:uid="{00000000-0004-0000-0000-000078040000}"/>
    <hyperlink ref="L1161" r:id="rId1146" tooltip="🔗 Ver Mapa" display="🔗 Ver Mapa" xr:uid="{00000000-0004-0000-0000-000079040000}"/>
    <hyperlink ref="L1162" r:id="rId1147" tooltip="🔗 Ver Mapa" display="🔗 Ver Mapa" xr:uid="{00000000-0004-0000-0000-00007A040000}"/>
    <hyperlink ref="L1163" r:id="rId1148" tooltip="🔗 Ver Mapa" display="🔗 Ver Mapa" xr:uid="{00000000-0004-0000-0000-00007B040000}"/>
    <hyperlink ref="L1164" r:id="rId1149" tooltip="🔗 Ver Mapa" display="🔗 Ver Mapa" xr:uid="{00000000-0004-0000-0000-00007C040000}"/>
    <hyperlink ref="L1165" r:id="rId1150" tooltip="🔗 Ver Mapa" display="🔗 Ver Mapa" xr:uid="{00000000-0004-0000-0000-00007D040000}"/>
    <hyperlink ref="L1166" r:id="rId1151" tooltip="🔗 Ver Mapa" display="🔗 Ver Mapa" xr:uid="{00000000-0004-0000-0000-00007E040000}"/>
    <hyperlink ref="L1167" r:id="rId1152" tooltip="🔗 Ver Mapa" display="🔗 Ver Mapa" xr:uid="{00000000-0004-0000-0000-00007F040000}"/>
    <hyperlink ref="L1168" r:id="rId1153" tooltip="🔗 Ver Mapa" display="🔗 Ver Mapa" xr:uid="{00000000-0004-0000-0000-000080040000}"/>
    <hyperlink ref="L1169" r:id="rId1154" tooltip="🔗 Ver Mapa" display="🔗 Ver Mapa" xr:uid="{00000000-0004-0000-0000-000081040000}"/>
    <hyperlink ref="L1170" r:id="rId1155" tooltip="🔗 Ver Mapa" display="🔗 Ver Mapa" xr:uid="{00000000-0004-0000-0000-000082040000}"/>
    <hyperlink ref="L1171" r:id="rId1156" tooltip="🔗 Ver Mapa" display="🔗 Ver Mapa" xr:uid="{00000000-0004-0000-0000-000083040000}"/>
    <hyperlink ref="L1172" r:id="rId1157" tooltip="🔗 Ver Mapa" display="🔗 Ver Mapa" xr:uid="{00000000-0004-0000-0000-000084040000}"/>
    <hyperlink ref="L1173" r:id="rId1158" tooltip="🔗 Ver Mapa" display="🔗 Ver Mapa" xr:uid="{00000000-0004-0000-0000-000085040000}"/>
    <hyperlink ref="L1174" r:id="rId1159" tooltip="🔗 Ver Mapa" display="🔗 Ver Mapa" xr:uid="{00000000-0004-0000-0000-000086040000}"/>
    <hyperlink ref="L1175" r:id="rId1160" tooltip="🔗 Ver Mapa" display="🔗 Ver Mapa" xr:uid="{00000000-0004-0000-0000-000087040000}"/>
    <hyperlink ref="L1176" r:id="rId1161" tooltip="🔗 Ver Mapa" display="🔗 Ver Mapa" xr:uid="{00000000-0004-0000-0000-000088040000}"/>
    <hyperlink ref="L1177" r:id="rId1162" tooltip="🔗 Ver Mapa" display="🔗 Ver Mapa" xr:uid="{00000000-0004-0000-0000-000089040000}"/>
    <hyperlink ref="L1178" r:id="rId1163" tooltip="🔗 Ver Mapa" display="🔗 Ver Mapa" xr:uid="{00000000-0004-0000-0000-00008A040000}"/>
    <hyperlink ref="L1179" r:id="rId1164" tooltip="🔗 Ver Mapa" display="🔗 Ver Mapa" xr:uid="{00000000-0004-0000-0000-00008B040000}"/>
    <hyperlink ref="L1180" r:id="rId1165" tooltip="🔗 Ver Mapa" display="🔗 Ver Mapa" xr:uid="{00000000-0004-0000-0000-00008C040000}"/>
    <hyperlink ref="L1181" r:id="rId1166" tooltip="🔗 Ver Mapa" display="🔗 Ver Mapa" xr:uid="{00000000-0004-0000-0000-00008D040000}"/>
    <hyperlink ref="L1182" r:id="rId1167" tooltip="🔗 Ver Mapa" display="🔗 Ver Mapa" xr:uid="{00000000-0004-0000-0000-00008E040000}"/>
    <hyperlink ref="L1183" r:id="rId1168" tooltip="🔗 Ver Mapa" display="🔗 Ver Mapa" xr:uid="{00000000-0004-0000-0000-00008F040000}"/>
    <hyperlink ref="L1184" r:id="rId1169" tooltip="🔗 Ver Mapa" display="🔗 Ver Mapa" xr:uid="{00000000-0004-0000-0000-000090040000}"/>
    <hyperlink ref="L1185" r:id="rId1170" tooltip="🔗 Ver Mapa" display="🔗 Ver Mapa" xr:uid="{00000000-0004-0000-0000-000091040000}"/>
    <hyperlink ref="L1186" r:id="rId1171" tooltip="🔗 Ver Mapa" display="🔗 Ver Mapa" xr:uid="{00000000-0004-0000-0000-000092040000}"/>
    <hyperlink ref="L1187" r:id="rId1172" tooltip="🔗 Ver Mapa" display="🔗 Ver Mapa" xr:uid="{00000000-0004-0000-0000-000093040000}"/>
    <hyperlink ref="L1188" r:id="rId1173" tooltip="🔗 Ver Mapa" display="🔗 Ver Mapa" xr:uid="{00000000-0004-0000-0000-000094040000}"/>
    <hyperlink ref="L1189" r:id="rId1174" tooltip="🔗 Ver Mapa" display="🔗 Ver Mapa" xr:uid="{00000000-0004-0000-0000-000095040000}"/>
    <hyperlink ref="L1190" r:id="rId1175" tooltip="🔗 Ver Mapa" display="🔗 Ver Mapa" xr:uid="{00000000-0004-0000-0000-000096040000}"/>
    <hyperlink ref="L1191" r:id="rId1176" tooltip="🔗 Ver Mapa" display="🔗 Ver Mapa" xr:uid="{00000000-0004-0000-0000-000097040000}"/>
    <hyperlink ref="L1192" r:id="rId1177" tooltip="🔗 Ver Mapa" display="🔗 Ver Mapa" xr:uid="{00000000-0004-0000-0000-000098040000}"/>
    <hyperlink ref="L1193" r:id="rId1178" tooltip="🔗 Ver Mapa" display="🔗 Ver Mapa" xr:uid="{00000000-0004-0000-0000-000099040000}"/>
    <hyperlink ref="L1194" r:id="rId1179" tooltip="🔗 Ver Mapa" display="🔗 Ver Mapa" xr:uid="{00000000-0004-0000-0000-00009A040000}"/>
    <hyperlink ref="L1195" r:id="rId1180" tooltip="🔗 Ver Mapa" display="🔗 Ver Mapa" xr:uid="{00000000-0004-0000-0000-00009B040000}"/>
    <hyperlink ref="L1196" r:id="rId1181" tooltip="🔗 Ver Mapa" display="🔗 Ver Mapa" xr:uid="{00000000-0004-0000-0000-00009C040000}"/>
    <hyperlink ref="L1197" r:id="rId1182" tooltip="🔗 Ver Mapa" display="🔗 Ver Mapa" xr:uid="{00000000-0004-0000-0000-00009D040000}"/>
    <hyperlink ref="L1198" r:id="rId1183" tooltip="🔗 Ver Mapa" display="🔗 Ver Mapa" xr:uid="{00000000-0004-0000-0000-00009E040000}"/>
    <hyperlink ref="L1199" r:id="rId1184" tooltip="🔗 Ver Mapa" display="🔗 Ver Mapa" xr:uid="{00000000-0004-0000-0000-00009F040000}"/>
    <hyperlink ref="L1200" r:id="rId1185" tooltip="🔗 Ver Mapa" display="🔗 Ver Mapa" xr:uid="{00000000-0004-0000-0000-0000A0040000}"/>
    <hyperlink ref="L1201" r:id="rId1186" tooltip="🔗 Ver Mapa" display="🔗 Ver Mapa" xr:uid="{00000000-0004-0000-0000-0000A1040000}"/>
    <hyperlink ref="L1202" r:id="rId1187" tooltip="🔗 Ver Mapa" display="🔗 Ver Mapa" xr:uid="{00000000-0004-0000-0000-0000A2040000}"/>
    <hyperlink ref="L1203" r:id="rId1188" tooltip="🔗 Ver Mapa" display="🔗 Ver Mapa" xr:uid="{00000000-0004-0000-0000-0000A3040000}"/>
    <hyperlink ref="L1204" r:id="rId1189" tooltip="🔗 Ver Mapa" display="🔗 Ver Mapa" xr:uid="{00000000-0004-0000-0000-0000A4040000}"/>
    <hyperlink ref="L1205" r:id="rId1190" tooltip="🔗 Ver Mapa" display="🔗 Ver Mapa" xr:uid="{00000000-0004-0000-0000-0000A5040000}"/>
    <hyperlink ref="L1206" r:id="rId1191" tooltip="🔗 Ver Mapa" display="🔗 Ver Mapa" xr:uid="{00000000-0004-0000-0000-0000A6040000}"/>
    <hyperlink ref="L1207" r:id="rId1192" tooltip="🔗 Ver Mapa" display="🔗 Ver Mapa" xr:uid="{00000000-0004-0000-0000-0000A7040000}"/>
    <hyperlink ref="L1208" r:id="rId1193" tooltip="🔗 Ver Mapa" display="🔗 Ver Mapa" xr:uid="{00000000-0004-0000-0000-0000A8040000}"/>
    <hyperlink ref="L1209" r:id="rId1194" tooltip="🔗 Ver Mapa" display="🔗 Ver Mapa" xr:uid="{00000000-0004-0000-0000-0000A9040000}"/>
    <hyperlink ref="L1210" r:id="rId1195" tooltip="🔗 Ver Mapa" display="🔗 Ver Mapa" xr:uid="{00000000-0004-0000-0000-0000AA040000}"/>
    <hyperlink ref="L1211" r:id="rId1196" tooltip="🔗 Ver Mapa" display="🔗 Ver Mapa" xr:uid="{00000000-0004-0000-0000-0000AB040000}"/>
    <hyperlink ref="L1212" r:id="rId1197" tooltip="🔗 Ver Mapa" display="🔗 Ver Mapa" xr:uid="{00000000-0004-0000-0000-0000AC040000}"/>
    <hyperlink ref="L1213" r:id="rId1198" tooltip="🔗 Ver Mapa" display="🔗 Ver Mapa" xr:uid="{00000000-0004-0000-0000-0000AD040000}"/>
    <hyperlink ref="L1214" r:id="rId1199" tooltip="🔗 Ver Mapa" display="🔗 Ver Mapa" xr:uid="{00000000-0004-0000-0000-0000AE040000}"/>
    <hyperlink ref="L1215" r:id="rId1200" tooltip="🔗 Ver Mapa" display="🔗 Ver Mapa" xr:uid="{00000000-0004-0000-0000-0000AF040000}"/>
    <hyperlink ref="L1216" r:id="rId1201" tooltip="🔗 Ver Mapa" display="🔗 Ver Mapa" xr:uid="{00000000-0004-0000-0000-0000B0040000}"/>
    <hyperlink ref="L1217" r:id="rId1202" tooltip="🔗 Ver Mapa" display="🔗 Ver Mapa" xr:uid="{00000000-0004-0000-0000-0000B1040000}"/>
    <hyperlink ref="L1218" r:id="rId1203" tooltip="🔗 Ver Mapa" display="🔗 Ver Mapa" xr:uid="{00000000-0004-0000-0000-0000B2040000}"/>
    <hyperlink ref="L1219" r:id="rId1204" tooltip="🔗 Ver Mapa" display="🔗 Ver Mapa" xr:uid="{00000000-0004-0000-0000-0000B3040000}"/>
    <hyperlink ref="L1220" r:id="rId1205" tooltip="🔗 Ver Mapa" display="🔗 Ver Mapa" xr:uid="{00000000-0004-0000-0000-0000B4040000}"/>
    <hyperlink ref="L1221" r:id="rId1206" tooltip="🔗 Ver Mapa" display="🔗 Ver Mapa" xr:uid="{00000000-0004-0000-0000-0000B5040000}"/>
    <hyperlink ref="L1222" r:id="rId1207" tooltip="🔗 Ver Mapa" display="🔗 Ver Mapa" xr:uid="{00000000-0004-0000-0000-0000B6040000}"/>
    <hyperlink ref="L1223" r:id="rId1208" tooltip="🔗 Ver Mapa" display="🔗 Ver Mapa" xr:uid="{00000000-0004-0000-0000-0000B7040000}"/>
    <hyperlink ref="L1224" r:id="rId1209" tooltip="🔗 Ver Mapa" display="🔗 Ver Mapa" xr:uid="{00000000-0004-0000-0000-0000B8040000}"/>
    <hyperlink ref="L1225" r:id="rId1210" tooltip="🔗 Ver Mapa" display="🔗 Ver Mapa" xr:uid="{00000000-0004-0000-0000-0000B9040000}"/>
    <hyperlink ref="L1226" r:id="rId1211" tooltip="🔗 Ver Mapa" display="🔗 Ver Mapa" xr:uid="{00000000-0004-0000-0000-0000BA040000}"/>
    <hyperlink ref="L1227" r:id="rId1212" tooltip="🔗 Ver Mapa" display="🔗 Ver Mapa" xr:uid="{00000000-0004-0000-0000-0000BB040000}"/>
    <hyperlink ref="L1228" r:id="rId1213" tooltip="🔗 Ver Mapa" display="🔗 Ver Mapa" xr:uid="{00000000-0004-0000-0000-0000BC040000}"/>
    <hyperlink ref="L1229" r:id="rId1214" tooltip="🔗 Ver Mapa" display="🔗 Ver Mapa" xr:uid="{00000000-0004-0000-0000-0000BD040000}"/>
    <hyperlink ref="L1230" r:id="rId1215" tooltip="🔗 Ver Mapa" display="🔗 Ver Mapa" xr:uid="{00000000-0004-0000-0000-0000BE040000}"/>
    <hyperlink ref="L1231" r:id="rId1216" tooltip="🔗 Ver Mapa" display="🔗 Ver Mapa" xr:uid="{00000000-0004-0000-0000-0000BF040000}"/>
    <hyperlink ref="L1232" r:id="rId1217" tooltip="🔗 Ver Mapa" display="🔗 Ver Mapa" xr:uid="{00000000-0004-0000-0000-0000C0040000}"/>
    <hyperlink ref="L1233" r:id="rId1218" tooltip="🔗 Ver Mapa" display="🔗 Ver Mapa" xr:uid="{00000000-0004-0000-0000-0000C1040000}"/>
    <hyperlink ref="L1234" r:id="rId1219" tooltip="🔗 Ver Mapa" display="🔗 Ver Mapa" xr:uid="{00000000-0004-0000-0000-0000C2040000}"/>
    <hyperlink ref="L1235" r:id="rId1220" tooltip="🔗 Ver Mapa" display="🔗 Ver Mapa" xr:uid="{00000000-0004-0000-0000-0000C3040000}"/>
    <hyperlink ref="L1236" r:id="rId1221" tooltip="🔗 Ver Mapa" display="🔗 Ver Mapa" xr:uid="{00000000-0004-0000-0000-0000C4040000}"/>
    <hyperlink ref="L1237" r:id="rId1222" tooltip="🔗 Ver Mapa" display="🔗 Ver Mapa" xr:uid="{00000000-0004-0000-0000-0000C5040000}"/>
    <hyperlink ref="L1238" r:id="rId1223" tooltip="🔗 Ver Mapa" display="🔗 Ver Mapa" xr:uid="{00000000-0004-0000-0000-0000C6040000}"/>
    <hyperlink ref="L1239" r:id="rId1224" tooltip="🔗 Ver Mapa" display="🔗 Ver Mapa" xr:uid="{00000000-0004-0000-0000-0000C7040000}"/>
    <hyperlink ref="L1240" r:id="rId1225" tooltip="🔗 Ver Mapa" display="🔗 Ver Mapa" xr:uid="{00000000-0004-0000-0000-0000C8040000}"/>
    <hyperlink ref="L1241" r:id="rId1226" tooltip="🔗 Ver Mapa" display="🔗 Ver Mapa" xr:uid="{00000000-0004-0000-0000-0000C9040000}"/>
    <hyperlink ref="L1242" r:id="rId1227" tooltip="🔗 Ver Mapa" display="🔗 Ver Mapa" xr:uid="{00000000-0004-0000-0000-0000CA040000}"/>
    <hyperlink ref="L1243" r:id="rId1228" tooltip="🔗 Ver Mapa" display="🔗 Ver Mapa" xr:uid="{00000000-0004-0000-0000-0000CB040000}"/>
    <hyperlink ref="L1244" r:id="rId1229" tooltip="🔗 Ver Mapa" display="🔗 Ver Mapa" xr:uid="{00000000-0004-0000-0000-0000CC040000}"/>
    <hyperlink ref="L1245" r:id="rId1230" tooltip="🔗 Ver Mapa" display="🔗 Ver Mapa" xr:uid="{00000000-0004-0000-0000-0000CD040000}"/>
    <hyperlink ref="L1246" r:id="rId1231" tooltip="🔗 Ver Mapa" display="🔗 Ver Mapa" xr:uid="{00000000-0004-0000-0000-0000CE040000}"/>
    <hyperlink ref="L1247" r:id="rId1232" tooltip="🔗 Ver Mapa" display="🔗 Ver Mapa" xr:uid="{00000000-0004-0000-0000-0000CF040000}"/>
    <hyperlink ref="L1248" r:id="rId1233" tooltip="🔗 Ver Mapa" display="🔗 Ver Mapa" xr:uid="{00000000-0004-0000-0000-0000D0040000}"/>
    <hyperlink ref="L1249" r:id="rId1234" tooltip="🔗 Ver Mapa" display="🔗 Ver Mapa" xr:uid="{00000000-0004-0000-0000-0000D1040000}"/>
    <hyperlink ref="L1250" r:id="rId1235" tooltip="🔗 Ver Mapa" display="🔗 Ver Mapa" xr:uid="{00000000-0004-0000-0000-0000D2040000}"/>
    <hyperlink ref="L1251" r:id="rId1236" tooltip="🔗 Ver Mapa" display="🔗 Ver Mapa" xr:uid="{00000000-0004-0000-0000-0000D3040000}"/>
    <hyperlink ref="L1252" r:id="rId1237" tooltip="🔗 Ver Mapa" display="🔗 Ver Mapa" xr:uid="{00000000-0004-0000-0000-0000D4040000}"/>
    <hyperlink ref="L1253" r:id="rId1238" tooltip="🔗 Ver Mapa" display="🔗 Ver Mapa" xr:uid="{00000000-0004-0000-0000-0000D5040000}"/>
    <hyperlink ref="L1254" r:id="rId1239" tooltip="🔗 Ver Mapa" display="🔗 Ver Mapa" xr:uid="{00000000-0004-0000-0000-0000D6040000}"/>
    <hyperlink ref="L1255" r:id="rId1240" tooltip="🔗 Ver Mapa" display="🔗 Ver Mapa" xr:uid="{00000000-0004-0000-0000-0000D7040000}"/>
    <hyperlink ref="L1256" r:id="rId1241" tooltip="🔗 Ver Mapa" display="🔗 Ver Mapa" xr:uid="{00000000-0004-0000-0000-0000D8040000}"/>
    <hyperlink ref="L1257" r:id="rId1242" tooltip="🔗 Ver Mapa" display="🔗 Ver Mapa" xr:uid="{00000000-0004-0000-0000-0000D9040000}"/>
    <hyperlink ref="L1258" r:id="rId1243" tooltip="🔗 Ver Mapa" display="🔗 Ver Mapa" xr:uid="{00000000-0004-0000-0000-0000DA040000}"/>
    <hyperlink ref="L1259" r:id="rId1244" tooltip="🔗 Ver Mapa" display="🔗 Ver Mapa" xr:uid="{00000000-0004-0000-0000-0000DB040000}"/>
    <hyperlink ref="L1260" r:id="rId1245" tooltip="🔗 Ver Mapa" display="🔗 Ver Mapa" xr:uid="{00000000-0004-0000-0000-0000DC040000}"/>
    <hyperlink ref="L1261" r:id="rId1246" tooltip="🔗 Ver Mapa" display="🔗 Ver Mapa" xr:uid="{00000000-0004-0000-0000-0000DD040000}"/>
    <hyperlink ref="L1262" r:id="rId1247" tooltip="🔗 Ver Mapa" display="🔗 Ver Mapa" xr:uid="{00000000-0004-0000-0000-0000DE040000}"/>
    <hyperlink ref="L1263" r:id="rId1248" tooltip="🔗 Ver Mapa" display="🔗 Ver Mapa" xr:uid="{00000000-0004-0000-0000-0000DF040000}"/>
    <hyperlink ref="L1264" r:id="rId1249" tooltip="🔗 Ver Mapa" display="🔗 Ver Mapa" xr:uid="{00000000-0004-0000-0000-0000E0040000}"/>
    <hyperlink ref="L1265" r:id="rId1250" tooltip="🔗 Ver Mapa" display="🔗 Ver Mapa" xr:uid="{00000000-0004-0000-0000-0000E1040000}"/>
    <hyperlink ref="L1266" r:id="rId1251" tooltip="🔗 Ver Mapa" display="🔗 Ver Mapa" xr:uid="{00000000-0004-0000-0000-0000E2040000}"/>
    <hyperlink ref="L1267" r:id="rId1252" tooltip="🔗 Ver Mapa" display="🔗 Ver Mapa" xr:uid="{00000000-0004-0000-0000-0000E3040000}"/>
    <hyperlink ref="L1268" r:id="rId1253" tooltip="🔗 Ver Mapa" display="🔗 Ver Mapa" xr:uid="{00000000-0004-0000-0000-0000E4040000}"/>
    <hyperlink ref="L1269" r:id="rId1254" tooltip="🔗 Ver Mapa" display="🔗 Ver Mapa" xr:uid="{00000000-0004-0000-0000-0000E5040000}"/>
    <hyperlink ref="L1270" r:id="rId1255" tooltip="🔗 Ver Mapa" display="🔗 Ver Mapa" xr:uid="{00000000-0004-0000-0000-0000E6040000}"/>
    <hyperlink ref="L1271" r:id="rId1256" tooltip="🔗 Ver Mapa" display="🔗 Ver Mapa" xr:uid="{00000000-0004-0000-0000-0000E7040000}"/>
    <hyperlink ref="L1272" r:id="rId1257" tooltip="🔗 Ver Mapa" display="🔗 Ver Mapa" xr:uid="{00000000-0004-0000-0000-0000E8040000}"/>
    <hyperlink ref="L1273" r:id="rId1258" tooltip="🔗 Ver Mapa" display="🔗 Ver Mapa" xr:uid="{00000000-0004-0000-0000-0000E9040000}"/>
    <hyperlink ref="L1274" r:id="rId1259" tooltip="🔗 Ver Mapa" display="🔗 Ver Mapa" xr:uid="{00000000-0004-0000-0000-0000EA040000}"/>
    <hyperlink ref="L1275" r:id="rId1260" tooltip="🔗 Ver Mapa" display="🔗 Ver Mapa" xr:uid="{00000000-0004-0000-0000-0000EB040000}"/>
    <hyperlink ref="L1276" r:id="rId1261" tooltip="🔗 Ver Mapa" display="🔗 Ver Mapa" xr:uid="{00000000-0004-0000-0000-0000EC040000}"/>
    <hyperlink ref="L1277" r:id="rId1262" tooltip="🔗 Ver Mapa" display="🔗 Ver Mapa" xr:uid="{00000000-0004-0000-0000-0000ED040000}"/>
    <hyperlink ref="L1278" r:id="rId1263" tooltip="🔗 Ver Mapa" display="🔗 Ver Mapa" xr:uid="{00000000-0004-0000-0000-0000EE040000}"/>
    <hyperlink ref="L1279" r:id="rId1264" tooltip="🔗 Ver Mapa" display="🔗 Ver Mapa" xr:uid="{00000000-0004-0000-0000-0000EF040000}"/>
    <hyperlink ref="L1280" r:id="rId1265" tooltip="🔗 Ver Mapa" display="🔗 Ver Mapa" xr:uid="{00000000-0004-0000-0000-0000F0040000}"/>
    <hyperlink ref="L1281" r:id="rId1266" tooltip="🔗 Ver Mapa" display="🔗 Ver Mapa" xr:uid="{00000000-0004-0000-0000-0000F1040000}"/>
    <hyperlink ref="L1282" r:id="rId1267" tooltip="🔗 Ver Mapa" display="🔗 Ver Mapa" xr:uid="{00000000-0004-0000-0000-0000F2040000}"/>
    <hyperlink ref="L1283" r:id="rId1268" tooltip="🔗 Ver Mapa" display="🔗 Ver Mapa" xr:uid="{00000000-0004-0000-0000-0000F3040000}"/>
    <hyperlink ref="L1284" r:id="rId1269" tooltip="🔗 Ver Mapa" display="🔗 Ver Mapa" xr:uid="{00000000-0004-0000-0000-0000F4040000}"/>
    <hyperlink ref="L1285" r:id="rId1270" tooltip="🔗 Ver Mapa" display="🔗 Ver Mapa" xr:uid="{00000000-0004-0000-0000-0000F5040000}"/>
    <hyperlink ref="L1286" r:id="rId1271" tooltip="🔗 Ver Mapa" display="🔗 Ver Mapa" xr:uid="{00000000-0004-0000-0000-0000F6040000}"/>
    <hyperlink ref="L1287" r:id="rId1272" tooltip="🔗 Ver Mapa" display="🔗 Ver Mapa" xr:uid="{00000000-0004-0000-0000-0000F7040000}"/>
    <hyperlink ref="L1288" r:id="rId1273" tooltip="🔗 Ver Mapa" display="🔗 Ver Mapa" xr:uid="{00000000-0004-0000-0000-0000F8040000}"/>
    <hyperlink ref="L1289" r:id="rId1274" tooltip="🔗 Ver Mapa" display="🔗 Ver Mapa" xr:uid="{00000000-0004-0000-0000-0000F9040000}"/>
    <hyperlink ref="L1290" r:id="rId1275" tooltip="🔗 Ver Mapa" display="🔗 Ver Mapa" xr:uid="{00000000-0004-0000-0000-0000FA040000}"/>
    <hyperlink ref="L1291" r:id="rId1276" tooltip="🔗 Ver Mapa" display="🔗 Ver Mapa" xr:uid="{00000000-0004-0000-0000-0000FB040000}"/>
    <hyperlink ref="L1292" r:id="rId1277" tooltip="🔗 Ver Mapa" display="🔗 Ver Mapa" xr:uid="{00000000-0004-0000-0000-0000FC040000}"/>
    <hyperlink ref="L1293" r:id="rId1278" tooltip="🔗 Ver Mapa" display="🔗 Ver Mapa" xr:uid="{00000000-0004-0000-0000-0000FD040000}"/>
    <hyperlink ref="L1294" r:id="rId1279" tooltip="🔗 Ver Mapa" display="🔗 Ver Mapa" xr:uid="{00000000-0004-0000-0000-0000FE040000}"/>
    <hyperlink ref="L1295" r:id="rId1280" tooltip="🔗 Ver Mapa" display="🔗 Ver Mapa" xr:uid="{00000000-0004-0000-0000-0000FF040000}"/>
    <hyperlink ref="L1296" r:id="rId1281" tooltip="🔗 Ver Mapa" display="🔗 Ver Mapa" xr:uid="{00000000-0004-0000-0000-000000050000}"/>
    <hyperlink ref="L1297" r:id="rId1282" tooltip="🔗 Ver Mapa" display="🔗 Ver Mapa" xr:uid="{00000000-0004-0000-0000-000001050000}"/>
    <hyperlink ref="L1298" r:id="rId1283" tooltip="🔗 Ver Mapa" display="🔗 Ver Mapa" xr:uid="{00000000-0004-0000-0000-000002050000}"/>
    <hyperlink ref="L1299" r:id="rId1284" tooltip="🔗 Ver Mapa" display="🔗 Ver Mapa" xr:uid="{00000000-0004-0000-0000-000003050000}"/>
    <hyperlink ref="L1300" r:id="rId1285" tooltip="🔗 Ver Mapa" display="🔗 Ver Mapa" xr:uid="{00000000-0004-0000-0000-000004050000}"/>
    <hyperlink ref="L1301" r:id="rId1286" tooltip="🔗 Ver Mapa" display="🔗 Ver Mapa" xr:uid="{00000000-0004-0000-0000-000005050000}"/>
    <hyperlink ref="L1302" r:id="rId1287" tooltip="🔗 Ver Mapa" display="🔗 Ver Mapa" xr:uid="{00000000-0004-0000-0000-000006050000}"/>
    <hyperlink ref="L1303" r:id="rId1288" tooltip="🔗 Ver Mapa" display="🔗 Ver Mapa" xr:uid="{00000000-0004-0000-0000-000007050000}"/>
    <hyperlink ref="L1304" r:id="rId1289" tooltip="🔗 Ver Mapa" display="🔗 Ver Mapa" xr:uid="{00000000-0004-0000-0000-000008050000}"/>
    <hyperlink ref="L1305" r:id="rId1290" tooltip="🔗 Ver Mapa" display="🔗 Ver Mapa" xr:uid="{00000000-0004-0000-0000-000009050000}"/>
    <hyperlink ref="L1306" r:id="rId1291" tooltip="🔗 Ver Mapa" display="🔗 Ver Mapa" xr:uid="{00000000-0004-0000-0000-00000A050000}"/>
    <hyperlink ref="L1307" r:id="rId1292" tooltip="🔗 Ver Mapa" display="🔗 Ver Mapa" xr:uid="{00000000-0004-0000-0000-00000B050000}"/>
    <hyperlink ref="L1308" r:id="rId1293" tooltip="🔗 Ver Mapa" display="🔗 Ver Mapa" xr:uid="{00000000-0004-0000-0000-00000C050000}"/>
    <hyperlink ref="L1309" r:id="rId1294" tooltip="🔗 Ver Mapa" display="🔗 Ver Mapa" xr:uid="{00000000-0004-0000-0000-00000D050000}"/>
    <hyperlink ref="L1310" r:id="rId1295" tooltip="🔗 Ver Mapa" display="🔗 Ver Mapa" xr:uid="{00000000-0004-0000-0000-00000E050000}"/>
    <hyperlink ref="L1311" r:id="rId1296" tooltip="🔗 Ver Mapa" display="🔗 Ver Mapa" xr:uid="{00000000-0004-0000-0000-00000F050000}"/>
    <hyperlink ref="L1312" r:id="rId1297" tooltip="🔗 Ver Mapa" display="🔗 Ver Mapa" xr:uid="{00000000-0004-0000-0000-000010050000}"/>
    <hyperlink ref="L1313" r:id="rId1298" tooltip="🔗 Ver Mapa" display="🔗 Ver Mapa" xr:uid="{00000000-0004-0000-0000-000011050000}"/>
    <hyperlink ref="L1314" r:id="rId1299" tooltip="🔗 Ver Mapa" display="🔗 Ver Mapa" xr:uid="{00000000-0004-0000-0000-000012050000}"/>
    <hyperlink ref="L1315" r:id="rId1300" tooltip="🔗 Ver Mapa" display="🔗 Ver Mapa" xr:uid="{00000000-0004-0000-0000-000013050000}"/>
    <hyperlink ref="L1316" r:id="rId1301" tooltip="🔗 Ver Mapa" display="🔗 Ver Mapa" xr:uid="{00000000-0004-0000-0000-000014050000}"/>
    <hyperlink ref="L1317" r:id="rId1302" tooltip="🔗 Ver Mapa" display="🔗 Ver Mapa" xr:uid="{00000000-0004-0000-0000-000015050000}"/>
    <hyperlink ref="L1318" r:id="rId1303" tooltip="🔗 Ver Mapa" display="🔗 Ver Mapa" xr:uid="{00000000-0004-0000-0000-000016050000}"/>
    <hyperlink ref="L1319" r:id="rId1304" tooltip="🔗 Ver Mapa" display="🔗 Ver Mapa" xr:uid="{00000000-0004-0000-0000-000017050000}"/>
    <hyperlink ref="L1320" r:id="rId1305" tooltip="🔗 Ver Mapa" display="🔗 Ver Mapa" xr:uid="{00000000-0004-0000-0000-000018050000}"/>
    <hyperlink ref="L1321" r:id="rId1306" tooltip="🔗 Ver Mapa" display="🔗 Ver Mapa" xr:uid="{00000000-0004-0000-0000-000019050000}"/>
    <hyperlink ref="L1322" r:id="rId1307" tooltip="🔗 Ver Mapa" display="🔗 Ver Mapa" xr:uid="{00000000-0004-0000-0000-00001A050000}"/>
    <hyperlink ref="L1323" r:id="rId1308" tooltip="🔗 Ver Mapa" display="🔗 Ver Mapa" xr:uid="{00000000-0004-0000-0000-00001B050000}"/>
    <hyperlink ref="L1324" r:id="rId1309" tooltip="🔗 Ver Mapa" display="🔗 Ver Mapa" xr:uid="{00000000-0004-0000-0000-00001C050000}"/>
    <hyperlink ref="L1325" r:id="rId1310" tooltip="🔗 Ver Mapa" display="🔗 Ver Mapa" xr:uid="{00000000-0004-0000-0000-00001D050000}"/>
    <hyperlink ref="L1326" r:id="rId1311" tooltip="🔗 Ver Mapa" display="🔗 Ver Mapa" xr:uid="{00000000-0004-0000-0000-00001E050000}"/>
    <hyperlink ref="L1327" r:id="rId1312" tooltip="🔗 Ver Mapa" display="🔗 Ver Mapa" xr:uid="{00000000-0004-0000-0000-00001F050000}"/>
    <hyperlink ref="L1328" r:id="rId1313" tooltip="🔗 Ver Mapa" display="🔗 Ver Mapa" xr:uid="{00000000-0004-0000-0000-000020050000}"/>
    <hyperlink ref="L1329" r:id="rId1314" tooltip="🔗 Ver Mapa" display="🔗 Ver Mapa" xr:uid="{00000000-0004-0000-0000-000021050000}"/>
    <hyperlink ref="L1330" r:id="rId1315" tooltip="🔗 Ver Mapa" display="🔗 Ver Mapa" xr:uid="{00000000-0004-0000-0000-000022050000}"/>
    <hyperlink ref="L1331" r:id="rId1316" tooltip="🔗 Ver Mapa" display="🔗 Ver Mapa" xr:uid="{00000000-0004-0000-0000-000023050000}"/>
    <hyperlink ref="L1332" r:id="rId1317" tooltip="🔗 Ver Mapa" display="🔗 Ver Mapa" xr:uid="{00000000-0004-0000-0000-000024050000}"/>
    <hyperlink ref="L1333" r:id="rId1318" tooltip="🔗 Ver Mapa" display="🔗 Ver Mapa" xr:uid="{00000000-0004-0000-0000-000025050000}"/>
    <hyperlink ref="L1334" r:id="rId1319" tooltip="🔗 Ver Mapa" display="🔗 Ver Mapa" xr:uid="{00000000-0004-0000-0000-000026050000}"/>
    <hyperlink ref="L1335" r:id="rId1320" tooltip="🔗 Ver Mapa" display="🔗 Ver Mapa" xr:uid="{00000000-0004-0000-0000-000027050000}"/>
    <hyperlink ref="L1336" r:id="rId1321" tooltip="🔗 Ver Mapa" display="🔗 Ver Mapa" xr:uid="{00000000-0004-0000-0000-000028050000}"/>
    <hyperlink ref="L1337" r:id="rId1322" tooltip="🔗 Ver Mapa" display="🔗 Ver Mapa" xr:uid="{00000000-0004-0000-0000-000029050000}"/>
    <hyperlink ref="L1338" r:id="rId1323" tooltip="🔗 Ver Mapa" display="🔗 Ver Mapa" xr:uid="{00000000-0004-0000-0000-00002A050000}"/>
    <hyperlink ref="L1339" r:id="rId1324" tooltip="🔗 Ver Mapa" display="🔗 Ver Mapa" xr:uid="{00000000-0004-0000-0000-00002B050000}"/>
    <hyperlink ref="L1340" r:id="rId1325" tooltip="🔗 Ver Mapa" display="🔗 Ver Mapa" xr:uid="{00000000-0004-0000-0000-00002C050000}"/>
    <hyperlink ref="L1341" r:id="rId1326" tooltip="🔗 Ver Mapa" display="🔗 Ver Mapa" xr:uid="{00000000-0004-0000-0000-00002D050000}"/>
    <hyperlink ref="L1342" r:id="rId1327" tooltip="🔗 Ver Mapa" display="🔗 Ver Mapa" xr:uid="{00000000-0004-0000-0000-00002E050000}"/>
    <hyperlink ref="L1343" r:id="rId1328" tooltip="🔗 Ver Mapa" display="🔗 Ver Mapa" xr:uid="{00000000-0004-0000-0000-00002F050000}"/>
    <hyperlink ref="L1344" r:id="rId1329" tooltip="🔗 Ver Mapa" display="🔗 Ver Mapa" xr:uid="{00000000-0004-0000-0000-000030050000}"/>
    <hyperlink ref="L1345" r:id="rId1330" tooltip="🔗 Ver Mapa" display="🔗 Ver Mapa" xr:uid="{00000000-0004-0000-0000-000031050000}"/>
    <hyperlink ref="L1346" r:id="rId1331" tooltip="🔗 Ver Mapa" display="🔗 Ver Mapa" xr:uid="{00000000-0004-0000-0000-000032050000}"/>
    <hyperlink ref="L1347" r:id="rId1332" tooltip="🔗 Ver Mapa" display="🔗 Ver Mapa" xr:uid="{00000000-0004-0000-0000-000033050000}"/>
    <hyperlink ref="L1348" r:id="rId1333" tooltip="🔗 Ver Mapa" display="🔗 Ver Mapa" xr:uid="{00000000-0004-0000-0000-000034050000}"/>
    <hyperlink ref="L1349" r:id="rId1334" tooltip="🔗 Ver Mapa" display="🔗 Ver Mapa" xr:uid="{00000000-0004-0000-0000-000035050000}"/>
    <hyperlink ref="L1350" r:id="rId1335" tooltip="🔗 Ver Mapa" display="🔗 Ver Mapa" xr:uid="{00000000-0004-0000-0000-000036050000}"/>
    <hyperlink ref="L1351" r:id="rId1336" tooltip="🔗 Ver Mapa" display="🔗 Ver Mapa" xr:uid="{00000000-0004-0000-0000-000037050000}"/>
    <hyperlink ref="L1352" r:id="rId1337" tooltip="🔗 Ver Mapa" display="🔗 Ver Mapa" xr:uid="{00000000-0004-0000-0000-000038050000}"/>
    <hyperlink ref="L1353" r:id="rId1338" tooltip="🔗 Ver Mapa" display="🔗 Ver Mapa" xr:uid="{00000000-0004-0000-0000-000039050000}"/>
    <hyperlink ref="L1354" r:id="rId1339" tooltip="🔗 Ver Mapa" display="🔗 Ver Mapa" xr:uid="{00000000-0004-0000-0000-00003A050000}"/>
    <hyperlink ref="L1355" r:id="rId1340" tooltip="🔗 Ver Mapa" display="🔗 Ver Mapa" xr:uid="{00000000-0004-0000-0000-00003B050000}"/>
    <hyperlink ref="L1356" r:id="rId1341" tooltip="🔗 Ver Mapa" display="🔗 Ver Mapa" xr:uid="{00000000-0004-0000-0000-00003C050000}"/>
    <hyperlink ref="L1357" r:id="rId1342" tooltip="🔗 Ver Mapa" display="🔗 Ver Mapa" xr:uid="{00000000-0004-0000-0000-00003D050000}"/>
    <hyperlink ref="L1358" r:id="rId1343" tooltip="🔗 Ver Mapa" display="🔗 Ver Mapa" xr:uid="{00000000-0004-0000-0000-00003E050000}"/>
    <hyperlink ref="L1359" r:id="rId1344" tooltip="🔗 Ver Mapa" display="🔗 Ver Mapa" xr:uid="{00000000-0004-0000-0000-00003F050000}"/>
    <hyperlink ref="L1360" r:id="rId1345" tooltip="🔗 Ver Mapa" display="🔗 Ver Mapa" xr:uid="{00000000-0004-0000-0000-000040050000}"/>
    <hyperlink ref="L1361" r:id="rId1346" tooltip="🔗 Ver Mapa" display="🔗 Ver Mapa" xr:uid="{00000000-0004-0000-0000-000041050000}"/>
    <hyperlink ref="L1362" r:id="rId1347" tooltip="🔗 Ver Mapa" display="🔗 Ver Mapa" xr:uid="{00000000-0004-0000-0000-000042050000}"/>
    <hyperlink ref="L1363" r:id="rId1348" tooltip="🔗 Ver Mapa" display="🔗 Ver Mapa" xr:uid="{00000000-0004-0000-0000-000043050000}"/>
    <hyperlink ref="L1364" r:id="rId1349" tooltip="🔗 Ver Mapa" display="🔗 Ver Mapa" xr:uid="{00000000-0004-0000-0000-000044050000}"/>
    <hyperlink ref="L1365" r:id="rId1350" tooltip="🔗 Ver Mapa" display="🔗 Ver Mapa" xr:uid="{00000000-0004-0000-0000-000045050000}"/>
    <hyperlink ref="L1366" r:id="rId1351" tooltip="🔗 Ver Mapa" display="🔗 Ver Mapa" xr:uid="{00000000-0004-0000-0000-000046050000}"/>
    <hyperlink ref="L1367" r:id="rId1352" tooltip="🔗 Ver Mapa" display="🔗 Ver Mapa" xr:uid="{00000000-0004-0000-0000-000047050000}"/>
    <hyperlink ref="L1368" r:id="rId1353" tooltip="🔗 Ver Mapa" display="🔗 Ver Mapa" xr:uid="{00000000-0004-0000-0000-000048050000}"/>
    <hyperlink ref="L1369" r:id="rId1354" tooltip="🔗 Ver Mapa" display="🔗 Ver Mapa" xr:uid="{00000000-0004-0000-0000-000049050000}"/>
    <hyperlink ref="L1370" r:id="rId1355" tooltip="🔗 Ver Mapa" display="🔗 Ver Mapa" xr:uid="{00000000-0004-0000-0000-00004A050000}"/>
    <hyperlink ref="L1371" r:id="rId1356" tooltip="🔗 Ver Mapa" display="🔗 Ver Mapa" xr:uid="{00000000-0004-0000-0000-00004B050000}"/>
    <hyperlink ref="L1372" r:id="rId1357" tooltip="🔗 Ver Mapa" display="🔗 Ver Mapa" xr:uid="{00000000-0004-0000-0000-00004C050000}"/>
    <hyperlink ref="L1373" r:id="rId1358" tooltip="🔗 Ver Mapa" display="🔗 Ver Mapa" xr:uid="{00000000-0004-0000-0000-00004D050000}"/>
    <hyperlink ref="L1374" r:id="rId1359" tooltip="🔗 Ver Mapa" display="🔗 Ver Mapa" xr:uid="{00000000-0004-0000-0000-00004E050000}"/>
    <hyperlink ref="L1375" r:id="rId1360" tooltip="🔗 Ver Mapa" display="🔗 Ver Mapa" xr:uid="{00000000-0004-0000-0000-00004F050000}"/>
    <hyperlink ref="L1376" r:id="rId1361" tooltip="🔗 Ver Mapa" display="🔗 Ver Mapa" xr:uid="{00000000-0004-0000-0000-000050050000}"/>
    <hyperlink ref="L1377" r:id="rId1362" tooltip="🔗 Ver Mapa" display="🔗 Ver Mapa" xr:uid="{00000000-0004-0000-0000-000051050000}"/>
    <hyperlink ref="L1378" r:id="rId1363" tooltip="🔗 Ver Mapa" display="🔗 Ver Mapa" xr:uid="{00000000-0004-0000-0000-000052050000}"/>
    <hyperlink ref="L1379" r:id="rId1364" tooltip="🔗 Ver Mapa" display="🔗 Ver Mapa" xr:uid="{00000000-0004-0000-0000-000053050000}"/>
    <hyperlink ref="L1380" r:id="rId1365" tooltip="🔗 Ver Mapa" display="🔗 Ver Mapa" xr:uid="{00000000-0004-0000-0000-000054050000}"/>
    <hyperlink ref="L1381" r:id="rId1366" tooltip="🔗 Ver Mapa" display="🔗 Ver Mapa" xr:uid="{00000000-0004-0000-0000-000055050000}"/>
    <hyperlink ref="L1382" r:id="rId1367" tooltip="🔗 Ver Mapa" display="🔗 Ver Mapa" xr:uid="{00000000-0004-0000-0000-000056050000}"/>
    <hyperlink ref="L1383" r:id="rId1368" tooltip="🔗 Ver Mapa" display="🔗 Ver Mapa" xr:uid="{00000000-0004-0000-0000-000057050000}"/>
    <hyperlink ref="L1384" r:id="rId1369" tooltip="🔗 Ver Mapa" display="🔗 Ver Mapa" xr:uid="{00000000-0004-0000-0000-000058050000}"/>
    <hyperlink ref="L1385" r:id="rId1370" tooltip="🔗 Ver Mapa" display="🔗 Ver Mapa" xr:uid="{00000000-0004-0000-0000-000059050000}"/>
    <hyperlink ref="L1386" r:id="rId1371" tooltip="🔗 Ver Mapa" display="🔗 Ver Mapa" xr:uid="{00000000-0004-0000-0000-00005A050000}"/>
    <hyperlink ref="L1387" r:id="rId1372" tooltip="🔗 Ver Mapa" display="🔗 Ver Mapa" xr:uid="{00000000-0004-0000-0000-00005B050000}"/>
    <hyperlink ref="L1388" r:id="rId1373" tooltip="🔗 Ver Mapa" display="🔗 Ver Mapa" xr:uid="{00000000-0004-0000-0000-00005C050000}"/>
    <hyperlink ref="L1389" r:id="rId1374" tooltip="🔗 Ver Mapa" display="🔗 Ver Mapa" xr:uid="{00000000-0004-0000-0000-00005D050000}"/>
    <hyperlink ref="L1390" r:id="rId1375" tooltip="🔗 Ver Mapa" display="🔗 Ver Mapa" xr:uid="{00000000-0004-0000-0000-00005E050000}"/>
    <hyperlink ref="L1391" r:id="rId1376" tooltip="🔗 Ver Mapa" display="🔗 Ver Mapa" xr:uid="{00000000-0004-0000-0000-00005F050000}"/>
    <hyperlink ref="L1392" r:id="rId1377" tooltip="🔗 Ver Mapa" display="🔗 Ver Mapa" xr:uid="{00000000-0004-0000-0000-000060050000}"/>
    <hyperlink ref="L1393" r:id="rId1378" tooltip="🔗 Ver Mapa" display="🔗 Ver Mapa" xr:uid="{00000000-0004-0000-0000-000061050000}"/>
    <hyperlink ref="L1394" r:id="rId1379" tooltip="🔗 Ver Mapa" display="🔗 Ver Mapa" xr:uid="{00000000-0004-0000-0000-000062050000}"/>
    <hyperlink ref="L1395" r:id="rId1380" tooltip="🔗 Ver Mapa" display="🔗 Ver Mapa" xr:uid="{00000000-0004-0000-0000-000063050000}"/>
    <hyperlink ref="L1396" r:id="rId1381" tooltip="🔗 Ver Mapa" display="🔗 Ver Mapa" xr:uid="{00000000-0004-0000-0000-000064050000}"/>
    <hyperlink ref="L1397" r:id="rId1382" tooltip="🔗 Ver Mapa" display="🔗 Ver Mapa" xr:uid="{00000000-0004-0000-0000-000065050000}"/>
    <hyperlink ref="L1398" r:id="rId1383" tooltip="🔗 Ver Mapa" display="🔗 Ver Mapa" xr:uid="{00000000-0004-0000-0000-000066050000}"/>
    <hyperlink ref="L1399" r:id="rId1384" tooltip="🔗 Ver Mapa" display="🔗 Ver Mapa" xr:uid="{00000000-0004-0000-0000-000067050000}"/>
    <hyperlink ref="L1400" r:id="rId1385" tooltip="🔗 Ver Mapa" display="🔗 Ver Mapa" xr:uid="{00000000-0004-0000-0000-000068050000}"/>
    <hyperlink ref="L1401" r:id="rId1386" tooltip="🔗 Ver Mapa" display="🔗 Ver Mapa" xr:uid="{00000000-0004-0000-0000-000069050000}"/>
    <hyperlink ref="L1402" r:id="rId1387" tooltip="🔗 Ver Mapa" display="🔗 Ver Mapa" xr:uid="{00000000-0004-0000-0000-00006A050000}"/>
    <hyperlink ref="L1403" r:id="rId1388" tooltip="🔗 Ver Mapa" display="🔗 Ver Mapa" xr:uid="{00000000-0004-0000-0000-00006B050000}"/>
    <hyperlink ref="L1404" r:id="rId1389" tooltip="🔗 Ver Mapa" display="🔗 Ver Mapa" xr:uid="{00000000-0004-0000-0000-00006C050000}"/>
    <hyperlink ref="L1405" r:id="rId1390" tooltip="🔗 Ver Mapa" display="🔗 Ver Mapa" xr:uid="{00000000-0004-0000-0000-00006D050000}"/>
    <hyperlink ref="L1406" r:id="rId1391" tooltip="🔗 Ver Mapa" display="🔗 Ver Mapa" xr:uid="{00000000-0004-0000-0000-00006E050000}"/>
    <hyperlink ref="L1407" r:id="rId1392" tooltip="🔗 Ver Mapa" display="🔗 Ver Mapa" xr:uid="{00000000-0004-0000-0000-00006F050000}"/>
    <hyperlink ref="L1408" r:id="rId1393" tooltip="🔗 Ver Mapa" display="🔗 Ver Mapa" xr:uid="{00000000-0004-0000-0000-000070050000}"/>
    <hyperlink ref="L1409" r:id="rId1394" tooltip="🔗 Ver Mapa" display="🔗 Ver Mapa" xr:uid="{00000000-0004-0000-0000-000071050000}"/>
    <hyperlink ref="L1410" r:id="rId1395" tooltip="🔗 Ver Mapa" display="🔗 Ver Mapa" xr:uid="{00000000-0004-0000-0000-000072050000}"/>
    <hyperlink ref="L1411" r:id="rId1396" tooltip="🔗 Ver Mapa" display="🔗 Ver Mapa" xr:uid="{00000000-0004-0000-0000-000073050000}"/>
    <hyperlink ref="L1412" r:id="rId1397" tooltip="🔗 Ver Mapa" display="🔗 Ver Mapa" xr:uid="{00000000-0004-0000-0000-000074050000}"/>
    <hyperlink ref="L1413" r:id="rId1398" tooltip="🔗 Ver Mapa" display="🔗 Ver Mapa" xr:uid="{00000000-0004-0000-0000-000075050000}"/>
    <hyperlink ref="L1414" r:id="rId1399" tooltip="🔗 Ver Mapa" display="🔗 Ver Mapa" xr:uid="{00000000-0004-0000-0000-000076050000}"/>
    <hyperlink ref="L1415" r:id="rId1400" tooltip="🔗 Ver Mapa" display="🔗 Ver Mapa" xr:uid="{00000000-0004-0000-0000-000077050000}"/>
    <hyperlink ref="L1416" r:id="rId1401" tooltip="🔗 Ver Mapa" display="🔗 Ver Mapa" xr:uid="{00000000-0004-0000-0000-000078050000}"/>
    <hyperlink ref="L1417" r:id="rId1402" tooltip="🔗 Ver Mapa" display="🔗 Ver Mapa" xr:uid="{00000000-0004-0000-0000-000079050000}"/>
    <hyperlink ref="L1418" r:id="rId1403" tooltip="🔗 Ver Mapa" display="🔗 Ver Mapa" xr:uid="{00000000-0004-0000-0000-00007A050000}"/>
    <hyperlink ref="L1419" r:id="rId1404" tooltip="🔗 Ver Mapa" display="🔗 Ver Mapa" xr:uid="{00000000-0004-0000-0000-00007B050000}"/>
    <hyperlink ref="L1420" r:id="rId1405" tooltip="🔗 Ver Mapa" display="🔗 Ver Mapa" xr:uid="{00000000-0004-0000-0000-00007C050000}"/>
    <hyperlink ref="L1421" r:id="rId1406" tooltip="🔗 Ver Mapa" display="🔗 Ver Mapa" xr:uid="{00000000-0004-0000-0000-00007D050000}"/>
    <hyperlink ref="L1422" r:id="rId1407" tooltip="🔗 Ver Mapa" display="🔗 Ver Mapa" xr:uid="{00000000-0004-0000-0000-00007E050000}"/>
    <hyperlink ref="L1423" r:id="rId1408" tooltip="🔗 Ver Mapa" display="🔗 Ver Mapa" xr:uid="{00000000-0004-0000-0000-00007F050000}"/>
    <hyperlink ref="L1424" r:id="rId1409" tooltip="🔗 Ver Mapa" display="🔗 Ver Mapa" xr:uid="{00000000-0004-0000-0000-000080050000}"/>
    <hyperlink ref="L1425" r:id="rId1410" tooltip="🔗 Ver Mapa" display="🔗 Ver Mapa" xr:uid="{00000000-0004-0000-0000-000081050000}"/>
    <hyperlink ref="L1426" r:id="rId1411" tooltip="🔗 Ver Mapa" display="🔗 Ver Mapa" xr:uid="{00000000-0004-0000-0000-000082050000}"/>
    <hyperlink ref="L1427" r:id="rId1412" tooltip="🔗 Ver Mapa" display="🔗 Ver Mapa" xr:uid="{00000000-0004-0000-0000-000083050000}"/>
    <hyperlink ref="L1428" r:id="rId1413" tooltip="🔗 Ver Mapa" display="🔗 Ver Mapa" xr:uid="{00000000-0004-0000-0000-000084050000}"/>
    <hyperlink ref="L1429" r:id="rId1414" tooltip="🔗 Ver Mapa" display="🔗 Ver Mapa" xr:uid="{00000000-0004-0000-0000-000085050000}"/>
    <hyperlink ref="L1430" r:id="rId1415" tooltip="🔗 Ver Mapa" display="🔗 Ver Mapa" xr:uid="{00000000-0004-0000-0000-000086050000}"/>
    <hyperlink ref="L1431" r:id="rId1416" tooltip="🔗 Ver Mapa" display="🔗 Ver Mapa" xr:uid="{00000000-0004-0000-0000-000087050000}"/>
    <hyperlink ref="L1432" r:id="rId1417" tooltip="🔗 Ver Mapa" display="🔗 Ver Mapa" xr:uid="{00000000-0004-0000-0000-000088050000}"/>
    <hyperlink ref="L1433" r:id="rId1418" tooltip="🔗 Ver Mapa" display="🔗 Ver Mapa" xr:uid="{00000000-0004-0000-0000-000089050000}"/>
    <hyperlink ref="L1434" r:id="rId1419" tooltip="🔗 Ver Mapa" display="🔗 Ver Mapa" xr:uid="{00000000-0004-0000-0000-00008A050000}"/>
    <hyperlink ref="L1435" r:id="rId1420" tooltip="🔗 Ver Mapa" display="🔗 Ver Mapa" xr:uid="{00000000-0004-0000-0000-00008B050000}"/>
    <hyperlink ref="L1436" r:id="rId1421" tooltip="🔗 Ver Mapa" display="🔗 Ver Mapa" xr:uid="{00000000-0004-0000-0000-00008C050000}"/>
    <hyperlink ref="L1437" r:id="rId1422" tooltip="🔗 Ver Mapa" display="🔗 Ver Mapa" xr:uid="{00000000-0004-0000-0000-00008D050000}"/>
    <hyperlink ref="L1438" r:id="rId1423" tooltip="🔗 Ver Mapa" display="🔗 Ver Mapa" xr:uid="{00000000-0004-0000-0000-00008E050000}"/>
    <hyperlink ref="L1439" r:id="rId1424" tooltip="🔗 Ver Mapa" display="🔗 Ver Mapa" xr:uid="{00000000-0004-0000-0000-00008F050000}"/>
    <hyperlink ref="L1440" r:id="rId1425" tooltip="🔗 Ver Mapa" display="🔗 Ver Mapa" xr:uid="{00000000-0004-0000-0000-000090050000}"/>
    <hyperlink ref="L1441" r:id="rId1426" tooltip="🔗 Ver Mapa" display="🔗 Ver Mapa" xr:uid="{00000000-0004-0000-0000-000091050000}"/>
    <hyperlink ref="L1442" r:id="rId1427" tooltip="🔗 Ver Mapa" display="🔗 Ver Mapa" xr:uid="{00000000-0004-0000-0000-000092050000}"/>
    <hyperlink ref="L1443" r:id="rId1428" tooltip="🔗 Ver Mapa" display="🔗 Ver Mapa" xr:uid="{00000000-0004-0000-0000-000093050000}"/>
    <hyperlink ref="L1444" r:id="rId1429" tooltip="🔗 Ver Mapa" display="🔗 Ver Mapa" xr:uid="{00000000-0004-0000-0000-000094050000}"/>
    <hyperlink ref="L1445" r:id="rId1430" tooltip="🔗 Ver Mapa" display="🔗 Ver Mapa" xr:uid="{00000000-0004-0000-0000-000095050000}"/>
    <hyperlink ref="L1446" r:id="rId1431" tooltip="🔗 Ver Mapa" display="🔗 Ver Mapa" xr:uid="{00000000-0004-0000-0000-000096050000}"/>
    <hyperlink ref="L1447" r:id="rId1432" tooltip="🔗 Ver Mapa" display="🔗 Ver Mapa" xr:uid="{00000000-0004-0000-0000-000097050000}"/>
    <hyperlink ref="L1448" r:id="rId1433" tooltip="🔗 Ver Mapa" display="🔗 Ver Mapa" xr:uid="{00000000-0004-0000-0000-000098050000}"/>
    <hyperlink ref="L1449" r:id="rId1434" tooltip="🔗 Ver Mapa" display="🔗 Ver Mapa" xr:uid="{00000000-0004-0000-0000-000099050000}"/>
    <hyperlink ref="L1450" r:id="rId1435" tooltip="🔗 Ver Mapa" display="🔗 Ver Mapa" xr:uid="{00000000-0004-0000-0000-00009A050000}"/>
    <hyperlink ref="L1451" r:id="rId1436" tooltip="🔗 Ver Mapa" display="🔗 Ver Mapa" xr:uid="{00000000-0004-0000-0000-00009B050000}"/>
    <hyperlink ref="L1452" r:id="rId1437" tooltip="🔗 Ver Mapa" display="🔗 Ver Mapa" xr:uid="{00000000-0004-0000-0000-00009C050000}"/>
    <hyperlink ref="L1453" r:id="rId1438" tooltip="🔗 Ver Mapa" display="🔗 Ver Mapa" xr:uid="{00000000-0004-0000-0000-00009D050000}"/>
    <hyperlink ref="L1454" r:id="rId1439" tooltip="🔗 Ver Mapa" display="🔗 Ver Mapa" xr:uid="{00000000-0004-0000-0000-00009E050000}"/>
    <hyperlink ref="L1455" r:id="rId1440" tooltip="🔗 Ver Mapa" display="🔗 Ver Mapa" xr:uid="{00000000-0004-0000-0000-00009F050000}"/>
    <hyperlink ref="L1456" r:id="rId1441" tooltip="🔗 Ver Mapa" display="🔗 Ver Mapa" xr:uid="{00000000-0004-0000-0000-0000A0050000}"/>
    <hyperlink ref="L1457" r:id="rId1442" tooltip="🔗 Ver Mapa" display="🔗 Ver Mapa" xr:uid="{00000000-0004-0000-0000-0000A1050000}"/>
    <hyperlink ref="L1458" r:id="rId1443" tooltip="🔗 Ver Mapa" display="🔗 Ver Mapa" xr:uid="{00000000-0004-0000-0000-0000A2050000}"/>
    <hyperlink ref="L1459" r:id="rId1444" tooltip="🔗 Ver Mapa" display="🔗 Ver Mapa" xr:uid="{00000000-0004-0000-0000-0000A3050000}"/>
    <hyperlink ref="L1460" r:id="rId1445" tooltip="🔗 Ver Mapa" display="🔗 Ver Mapa" xr:uid="{00000000-0004-0000-0000-0000A4050000}"/>
    <hyperlink ref="L1461" r:id="rId1446" tooltip="🔗 Ver Mapa" display="🔗 Ver Mapa" xr:uid="{00000000-0004-0000-0000-0000A5050000}"/>
    <hyperlink ref="L1462" r:id="rId1447" tooltip="🔗 Ver Mapa" display="🔗 Ver Mapa" xr:uid="{00000000-0004-0000-0000-0000A6050000}"/>
    <hyperlink ref="L1463" r:id="rId1448" tooltip="🔗 Ver Mapa" display="🔗 Ver Mapa" xr:uid="{00000000-0004-0000-0000-0000A7050000}"/>
    <hyperlink ref="L1464" r:id="rId1449" tooltip="🔗 Ver Mapa" display="🔗 Ver Mapa" xr:uid="{00000000-0004-0000-0000-0000A8050000}"/>
    <hyperlink ref="L1465" r:id="rId1450" tooltip="🔗 Ver Mapa" display="🔗 Ver Mapa" xr:uid="{00000000-0004-0000-0000-0000A9050000}"/>
    <hyperlink ref="L1466" r:id="rId1451" tooltip="🔗 Ver Mapa" display="🔗 Ver Mapa" xr:uid="{00000000-0004-0000-0000-0000AA050000}"/>
    <hyperlink ref="L1467" r:id="rId1452" tooltip="🔗 Ver Mapa" display="🔗 Ver Mapa" xr:uid="{00000000-0004-0000-0000-0000AB050000}"/>
    <hyperlink ref="L1468" r:id="rId1453" tooltip="🔗 Ver Mapa" display="🔗 Ver Mapa" xr:uid="{00000000-0004-0000-0000-0000AC050000}"/>
    <hyperlink ref="L1469" r:id="rId1454" tooltip="🔗 Ver Mapa" display="🔗 Ver Mapa" xr:uid="{00000000-0004-0000-0000-0000AD050000}"/>
    <hyperlink ref="L1470" r:id="rId1455" tooltip="🔗 Ver Mapa" display="🔗 Ver Mapa" xr:uid="{00000000-0004-0000-0000-0000AE050000}"/>
    <hyperlink ref="L1471" r:id="rId1456" tooltip="🔗 Ver Mapa" display="🔗 Ver Mapa" xr:uid="{00000000-0004-0000-0000-0000AF050000}"/>
    <hyperlink ref="L1472" r:id="rId1457" tooltip="🔗 Ver Mapa" display="🔗 Ver Mapa" xr:uid="{00000000-0004-0000-0000-0000B0050000}"/>
    <hyperlink ref="L1473" r:id="rId1458" tooltip="🔗 Ver Mapa" display="🔗 Ver Mapa" xr:uid="{00000000-0004-0000-0000-0000B1050000}"/>
    <hyperlink ref="L1474" r:id="rId1459" tooltip="🔗 Ver Mapa" display="🔗 Ver Mapa" xr:uid="{00000000-0004-0000-0000-0000B2050000}"/>
    <hyperlink ref="L1475" r:id="rId1460" tooltip="🔗 Ver Mapa" display="🔗 Ver Mapa" xr:uid="{00000000-0004-0000-0000-0000B3050000}"/>
    <hyperlink ref="L1476" r:id="rId1461" tooltip="🔗 Ver Mapa" display="🔗 Ver Mapa" xr:uid="{00000000-0004-0000-0000-0000B4050000}"/>
    <hyperlink ref="L1477" r:id="rId1462" tooltip="🔗 Ver Mapa" display="🔗 Ver Mapa" xr:uid="{00000000-0004-0000-0000-0000B5050000}"/>
    <hyperlink ref="L1478" r:id="rId1463" tooltip="🔗 Ver Mapa" display="🔗 Ver Mapa" xr:uid="{00000000-0004-0000-0000-0000B6050000}"/>
    <hyperlink ref="L1479" r:id="rId1464" tooltip="🔗 Ver Mapa" display="🔗 Ver Mapa" xr:uid="{00000000-0004-0000-0000-0000B7050000}"/>
    <hyperlink ref="L1480" r:id="rId1465" tooltip="🔗 Ver Mapa" display="🔗 Ver Mapa" xr:uid="{00000000-0004-0000-0000-0000B8050000}"/>
    <hyperlink ref="L1481" r:id="rId1466" tooltip="🔗 Ver Mapa" display="🔗 Ver Mapa" xr:uid="{00000000-0004-0000-0000-0000B9050000}"/>
    <hyperlink ref="L1482" r:id="rId1467" tooltip="🔗 Ver Mapa" display="🔗 Ver Mapa" xr:uid="{00000000-0004-0000-0000-0000BA050000}"/>
    <hyperlink ref="L1483" r:id="rId1468" tooltip="🔗 Ver Mapa" display="🔗 Ver Mapa" xr:uid="{00000000-0004-0000-0000-0000BB050000}"/>
    <hyperlink ref="L1484" r:id="rId1469" tooltip="🔗 Ver Mapa" display="🔗 Ver Mapa" xr:uid="{00000000-0004-0000-0000-0000BC050000}"/>
    <hyperlink ref="L1485" r:id="rId1470" tooltip="🔗 Ver Mapa" display="🔗 Ver Mapa" xr:uid="{00000000-0004-0000-0000-0000BD050000}"/>
    <hyperlink ref="L1486" r:id="rId1471" tooltip="🔗 Ver Mapa" display="🔗 Ver Mapa" xr:uid="{00000000-0004-0000-0000-0000BE050000}"/>
    <hyperlink ref="L1487" r:id="rId1472" tooltip="🔗 Ver Mapa" display="🔗 Ver Mapa" xr:uid="{00000000-0004-0000-0000-0000BF050000}"/>
    <hyperlink ref="L1488" r:id="rId1473" tooltip="🔗 Ver Mapa" display="🔗 Ver Mapa" xr:uid="{00000000-0004-0000-0000-0000C0050000}"/>
    <hyperlink ref="L1489" r:id="rId1474" tooltip="🔗 Ver Mapa" display="🔗 Ver Mapa" xr:uid="{00000000-0004-0000-0000-0000C1050000}"/>
    <hyperlink ref="L1490" r:id="rId1475" tooltip="🔗 Ver Mapa" display="🔗 Ver Mapa" xr:uid="{00000000-0004-0000-0000-0000C2050000}"/>
    <hyperlink ref="L1491" r:id="rId1476" tooltip="🔗 Ver Mapa" display="🔗 Ver Mapa" xr:uid="{00000000-0004-0000-0000-0000C3050000}"/>
    <hyperlink ref="L1492" r:id="rId1477" tooltip="🔗 Ver Mapa" display="🔗 Ver Mapa" xr:uid="{00000000-0004-0000-0000-0000C4050000}"/>
    <hyperlink ref="L1493" r:id="rId1478" tooltip="🔗 Ver Mapa" display="🔗 Ver Mapa" xr:uid="{00000000-0004-0000-0000-0000C5050000}"/>
    <hyperlink ref="L1494" r:id="rId1479" tooltip="🔗 Ver Mapa" display="🔗 Ver Mapa" xr:uid="{00000000-0004-0000-0000-0000C6050000}"/>
    <hyperlink ref="L1495" r:id="rId1480" tooltip="🔗 Ver Mapa" display="🔗 Ver Mapa" xr:uid="{00000000-0004-0000-0000-0000C7050000}"/>
    <hyperlink ref="L1496" r:id="rId1481" tooltip="🔗 Ver Mapa" display="🔗 Ver Mapa" xr:uid="{00000000-0004-0000-0000-0000C8050000}"/>
    <hyperlink ref="L1497" r:id="rId1482" tooltip="🔗 Ver Mapa" display="🔗 Ver Mapa" xr:uid="{00000000-0004-0000-0000-0000C9050000}"/>
    <hyperlink ref="L1498" r:id="rId1483" tooltip="🔗 Ver Mapa" display="🔗 Ver Mapa" xr:uid="{00000000-0004-0000-0000-0000CA050000}"/>
    <hyperlink ref="L1499" r:id="rId1484" tooltip="🔗 Ver Mapa" display="🔗 Ver Mapa" xr:uid="{00000000-0004-0000-0000-0000CB050000}"/>
    <hyperlink ref="L1500" r:id="rId1485" tooltip="🔗 Ver Mapa" display="🔗 Ver Mapa" xr:uid="{00000000-0004-0000-0000-0000CC050000}"/>
    <hyperlink ref="L1501" r:id="rId1486" tooltip="🔗 Ver Mapa" display="🔗 Ver Mapa" xr:uid="{00000000-0004-0000-0000-0000CD050000}"/>
    <hyperlink ref="L1502" r:id="rId1487" tooltip="🔗 Ver Mapa" display="🔗 Ver Mapa" xr:uid="{00000000-0004-0000-0000-0000CE050000}"/>
    <hyperlink ref="L1503" r:id="rId1488" tooltip="🔗 Ver Mapa" display="🔗 Ver Mapa" xr:uid="{00000000-0004-0000-0000-0000CF050000}"/>
    <hyperlink ref="L1504" r:id="rId1489" tooltip="🔗 Ver Mapa" display="🔗 Ver Mapa" xr:uid="{00000000-0004-0000-0000-0000D0050000}"/>
    <hyperlink ref="L1505" r:id="rId1490" tooltip="🔗 Ver Mapa" display="🔗 Ver Mapa" xr:uid="{00000000-0004-0000-0000-0000D1050000}"/>
    <hyperlink ref="L1506" r:id="rId1491" tooltip="🔗 Ver Mapa" display="🔗 Ver Mapa" xr:uid="{00000000-0004-0000-0000-0000D2050000}"/>
    <hyperlink ref="L1507" r:id="rId1492" tooltip="🔗 Ver Mapa" display="🔗 Ver Mapa" xr:uid="{00000000-0004-0000-0000-0000D3050000}"/>
    <hyperlink ref="L1508" r:id="rId1493" tooltip="🔗 Ver Mapa" display="🔗 Ver Mapa" xr:uid="{00000000-0004-0000-0000-0000D4050000}"/>
    <hyperlink ref="L1509" r:id="rId1494" tooltip="🔗 Ver Mapa" display="🔗 Ver Mapa" xr:uid="{00000000-0004-0000-0000-0000D5050000}"/>
    <hyperlink ref="L1510" r:id="rId1495" tooltip="🔗 Ver Mapa" display="🔗 Ver Mapa" xr:uid="{00000000-0004-0000-0000-0000D6050000}"/>
    <hyperlink ref="L1511" r:id="rId1496" tooltip="🔗 Ver Mapa" display="🔗 Ver Mapa" xr:uid="{00000000-0004-0000-0000-0000D7050000}"/>
    <hyperlink ref="L1512" r:id="rId1497" tooltip="🔗 Ver Mapa" display="🔗 Ver Mapa" xr:uid="{00000000-0004-0000-0000-0000D8050000}"/>
    <hyperlink ref="L1513" r:id="rId1498" tooltip="🔗 Ver Mapa" display="🔗 Ver Mapa" xr:uid="{00000000-0004-0000-0000-0000D9050000}"/>
    <hyperlink ref="L1514" r:id="rId1499" tooltip="🔗 Ver Mapa" display="🔗 Ver Mapa" xr:uid="{00000000-0004-0000-0000-0000DA050000}"/>
    <hyperlink ref="L1515" r:id="rId1500" tooltip="🔗 Ver Mapa" display="🔗 Ver Mapa" xr:uid="{00000000-0004-0000-0000-0000DB050000}"/>
    <hyperlink ref="L1516" r:id="rId1501" tooltip="🔗 Ver Mapa" display="🔗 Ver Mapa" xr:uid="{00000000-0004-0000-0000-0000DC050000}"/>
    <hyperlink ref="L1517" r:id="rId1502" tooltip="🔗 Ver Mapa" display="🔗 Ver Mapa" xr:uid="{00000000-0004-0000-0000-0000DD050000}"/>
    <hyperlink ref="L1518" r:id="rId1503" tooltip="🔗 Ver Mapa" display="🔗 Ver Mapa" xr:uid="{00000000-0004-0000-0000-0000DE050000}"/>
    <hyperlink ref="L1519" r:id="rId1504" tooltip="🔗 Ver Mapa" display="🔗 Ver Mapa" xr:uid="{00000000-0004-0000-0000-0000DF050000}"/>
    <hyperlink ref="L1520" r:id="rId1505" tooltip="🔗 Ver Mapa" display="🔗 Ver Mapa" xr:uid="{00000000-0004-0000-0000-0000E0050000}"/>
    <hyperlink ref="L1521" r:id="rId1506" tooltip="🔗 Ver Mapa" display="🔗 Ver Mapa" xr:uid="{00000000-0004-0000-0000-0000E1050000}"/>
    <hyperlink ref="L1522" r:id="rId1507" tooltip="🔗 Ver Mapa" display="🔗 Ver Mapa" xr:uid="{00000000-0004-0000-0000-0000E2050000}"/>
    <hyperlink ref="L1523" r:id="rId1508" tooltip="🔗 Ver Mapa" display="🔗 Ver Mapa" xr:uid="{00000000-0004-0000-0000-0000E3050000}"/>
    <hyperlink ref="L1524" r:id="rId1509" tooltip="🔗 Ver Mapa" display="🔗 Ver Mapa" xr:uid="{00000000-0004-0000-0000-0000E4050000}"/>
    <hyperlink ref="L1525" r:id="rId1510" tooltip="🔗 Ver Mapa" display="🔗 Ver Mapa" xr:uid="{00000000-0004-0000-0000-0000E5050000}"/>
    <hyperlink ref="L1526" r:id="rId1511" tooltip="🔗 Ver Mapa" display="🔗 Ver Mapa" xr:uid="{00000000-0004-0000-0000-0000E6050000}"/>
    <hyperlink ref="L1527" r:id="rId1512" tooltip="🔗 Ver Mapa" display="🔗 Ver Mapa" xr:uid="{00000000-0004-0000-0000-0000E7050000}"/>
    <hyperlink ref="L1528" r:id="rId1513" tooltip="🔗 Ver Mapa" display="🔗 Ver Mapa" xr:uid="{00000000-0004-0000-0000-0000E8050000}"/>
    <hyperlink ref="L1529" r:id="rId1514" tooltip="🔗 Ver Mapa" display="🔗 Ver Mapa" xr:uid="{00000000-0004-0000-0000-0000E9050000}"/>
    <hyperlink ref="L1530" r:id="rId1515" tooltip="🔗 Ver Mapa" display="🔗 Ver Mapa" xr:uid="{00000000-0004-0000-0000-0000EA050000}"/>
    <hyperlink ref="L1531" r:id="rId1516" tooltip="🔗 Ver Mapa" display="🔗 Ver Mapa" xr:uid="{00000000-0004-0000-0000-0000EB050000}"/>
    <hyperlink ref="L1532" r:id="rId1517" tooltip="🔗 Ver Mapa" display="🔗 Ver Mapa" xr:uid="{00000000-0004-0000-0000-0000EC050000}"/>
    <hyperlink ref="L1533" r:id="rId1518" tooltip="🔗 Ver Mapa" display="🔗 Ver Mapa" xr:uid="{00000000-0004-0000-0000-0000ED050000}"/>
    <hyperlink ref="L1534" r:id="rId1519" tooltip="🔗 Ver Mapa" display="🔗 Ver Mapa" xr:uid="{00000000-0004-0000-0000-0000EE050000}"/>
    <hyperlink ref="L1535" r:id="rId1520" tooltip="🔗 Ver Mapa" display="🔗 Ver Mapa" xr:uid="{00000000-0004-0000-0000-0000EF050000}"/>
    <hyperlink ref="L1536" r:id="rId1521" tooltip="🔗 Ver Mapa" display="🔗 Ver Mapa" xr:uid="{00000000-0004-0000-0000-0000F0050000}"/>
    <hyperlink ref="L1537" r:id="rId1522" tooltip="🔗 Ver Mapa" display="🔗 Ver Mapa" xr:uid="{00000000-0004-0000-0000-0000F1050000}"/>
    <hyperlink ref="L1538" r:id="rId1523" tooltip="🔗 Ver Mapa" display="🔗 Ver Mapa" xr:uid="{00000000-0004-0000-0000-0000F2050000}"/>
    <hyperlink ref="L1539" r:id="rId1524" tooltip="🔗 Ver Mapa" display="🔗 Ver Mapa" xr:uid="{00000000-0004-0000-0000-0000F3050000}"/>
    <hyperlink ref="L1540" r:id="rId1525" tooltip="🔗 Ver Mapa" display="🔗 Ver Mapa" xr:uid="{00000000-0004-0000-0000-0000F4050000}"/>
    <hyperlink ref="L1541" r:id="rId1526" tooltip="🔗 Ver Mapa" display="🔗 Ver Mapa" xr:uid="{00000000-0004-0000-0000-0000F5050000}"/>
    <hyperlink ref="L1542" r:id="rId1527" tooltip="🔗 Ver Mapa" display="🔗 Ver Mapa" xr:uid="{00000000-0004-0000-0000-0000F6050000}"/>
    <hyperlink ref="L1543" r:id="rId1528" tooltip="🔗 Ver Mapa" display="🔗 Ver Mapa" xr:uid="{00000000-0004-0000-0000-0000F7050000}"/>
    <hyperlink ref="L1544" r:id="rId1529" tooltip="🔗 Ver Mapa" display="🔗 Ver Mapa" xr:uid="{00000000-0004-0000-0000-0000F8050000}"/>
    <hyperlink ref="L1545" r:id="rId1530" tooltip="🔗 Ver Mapa" display="🔗 Ver Mapa" xr:uid="{00000000-0004-0000-0000-0000F9050000}"/>
    <hyperlink ref="L1546" r:id="rId1531" tooltip="🔗 Ver Mapa" display="🔗 Ver Mapa" xr:uid="{00000000-0004-0000-0000-0000FA050000}"/>
    <hyperlink ref="L1547" r:id="rId1532" tooltip="🔗 Ver Mapa" display="🔗 Ver Mapa" xr:uid="{00000000-0004-0000-0000-0000FB050000}"/>
    <hyperlink ref="L1548" r:id="rId1533" tooltip="🔗 Ver Mapa" display="🔗 Ver Mapa" xr:uid="{00000000-0004-0000-0000-0000FC050000}"/>
    <hyperlink ref="L1549" r:id="rId1534" tooltip="🔗 Ver Mapa" display="🔗 Ver Mapa" xr:uid="{00000000-0004-0000-0000-0000FD050000}"/>
    <hyperlink ref="L1550" r:id="rId1535" tooltip="🔗 Ver Mapa" display="🔗 Ver Mapa" xr:uid="{00000000-0004-0000-0000-0000FE050000}"/>
    <hyperlink ref="L1551" r:id="rId1536" tooltip="🔗 Ver Mapa" display="🔗 Ver Mapa" xr:uid="{00000000-0004-0000-0000-0000FF050000}"/>
    <hyperlink ref="L1552" r:id="rId1537" tooltip="🔗 Ver Mapa" display="🔗 Ver Mapa" xr:uid="{00000000-0004-0000-0000-000000060000}"/>
    <hyperlink ref="L1553" r:id="rId1538" tooltip="🔗 Ver Mapa" display="🔗 Ver Mapa" xr:uid="{00000000-0004-0000-0000-000001060000}"/>
    <hyperlink ref="L1554" r:id="rId1539" tooltip="🔗 Ver Mapa" display="🔗 Ver Mapa" xr:uid="{00000000-0004-0000-0000-000002060000}"/>
    <hyperlink ref="L1555" r:id="rId1540" tooltip="🔗 Ver Mapa" display="🔗 Ver Mapa" xr:uid="{00000000-0004-0000-0000-000003060000}"/>
    <hyperlink ref="L1556" r:id="rId1541" tooltip="🔗 Ver Mapa" display="🔗 Ver Mapa" xr:uid="{00000000-0004-0000-0000-000004060000}"/>
    <hyperlink ref="L1557" r:id="rId1542" tooltip="🔗 Ver Mapa" display="🔗 Ver Mapa" xr:uid="{00000000-0004-0000-0000-000005060000}"/>
    <hyperlink ref="L1558" r:id="rId1543" tooltip="🔗 Ver Mapa" display="🔗 Ver Mapa" xr:uid="{00000000-0004-0000-0000-000006060000}"/>
    <hyperlink ref="L1559" r:id="rId1544" tooltip="🔗 Ver Mapa" display="🔗 Ver Mapa" xr:uid="{00000000-0004-0000-0000-000007060000}"/>
    <hyperlink ref="L1560" r:id="rId1545" tooltip="🔗 Ver Mapa" display="🔗 Ver Mapa" xr:uid="{00000000-0004-0000-0000-000008060000}"/>
    <hyperlink ref="L1561" r:id="rId1546" tooltip="🔗 Ver Mapa" display="🔗 Ver Mapa" xr:uid="{00000000-0004-0000-0000-000009060000}"/>
    <hyperlink ref="L1562" r:id="rId1547" tooltip="🔗 Ver Mapa" display="🔗 Ver Mapa" xr:uid="{00000000-0004-0000-0000-00000A060000}"/>
    <hyperlink ref="L1563" r:id="rId1548" tooltip="🔗 Ver Mapa" display="🔗 Ver Mapa" xr:uid="{00000000-0004-0000-0000-00000B060000}"/>
    <hyperlink ref="L1564" r:id="rId1549" tooltip="🔗 Ver Mapa" display="🔗 Ver Mapa" xr:uid="{00000000-0004-0000-0000-00000C060000}"/>
    <hyperlink ref="L1565" r:id="rId1550" tooltip="🔗 Ver Mapa" display="🔗 Ver Mapa" xr:uid="{00000000-0004-0000-0000-00000D060000}"/>
    <hyperlink ref="L1566" r:id="rId1551" tooltip="🔗 Ver Mapa" display="🔗 Ver Mapa" xr:uid="{00000000-0004-0000-0000-00000E060000}"/>
    <hyperlink ref="L1567" r:id="rId1552" tooltip="🔗 Ver Mapa" display="🔗 Ver Mapa" xr:uid="{00000000-0004-0000-0000-00000F060000}"/>
    <hyperlink ref="L1568" r:id="rId1553" tooltip="🔗 Ver Mapa" display="🔗 Ver Mapa" xr:uid="{00000000-0004-0000-0000-000010060000}"/>
    <hyperlink ref="L1569" r:id="rId1554" tooltip="🔗 Ver Mapa" display="🔗 Ver Mapa" xr:uid="{00000000-0004-0000-0000-000011060000}"/>
    <hyperlink ref="L1570" r:id="rId1555" tooltip="🔗 Ver Mapa" display="🔗 Ver Mapa" xr:uid="{00000000-0004-0000-0000-000012060000}"/>
    <hyperlink ref="L1571" r:id="rId1556" tooltip="🔗 Ver Mapa" display="🔗 Ver Mapa" xr:uid="{00000000-0004-0000-0000-000013060000}"/>
    <hyperlink ref="L1572" r:id="rId1557" tooltip="🔗 Ver Mapa" display="🔗 Ver Mapa" xr:uid="{00000000-0004-0000-0000-000014060000}"/>
    <hyperlink ref="L1573" r:id="rId1558" tooltip="🔗 Ver Mapa" display="🔗 Ver Mapa" xr:uid="{00000000-0004-0000-0000-000015060000}"/>
    <hyperlink ref="L1574" r:id="rId1559" tooltip="🔗 Ver Mapa" display="🔗 Ver Mapa" xr:uid="{00000000-0004-0000-0000-000016060000}"/>
    <hyperlink ref="L1575" r:id="rId1560" tooltip="🔗 Ver Mapa" display="🔗 Ver Mapa" xr:uid="{00000000-0004-0000-0000-000017060000}"/>
    <hyperlink ref="L1576" r:id="rId1561" tooltip="🔗 Ver Mapa" display="🔗 Ver Mapa" xr:uid="{00000000-0004-0000-0000-000018060000}"/>
    <hyperlink ref="L1577" r:id="rId1562" tooltip="🔗 Ver Mapa" display="🔗 Ver Mapa" xr:uid="{00000000-0004-0000-0000-000019060000}"/>
    <hyperlink ref="L1578" r:id="rId1563" tooltip="🔗 Ver Mapa" display="🔗 Ver Mapa" xr:uid="{00000000-0004-0000-0000-00001A060000}"/>
    <hyperlink ref="L1579" r:id="rId1564" tooltip="🔗 Ver Mapa" display="🔗 Ver Mapa" xr:uid="{00000000-0004-0000-0000-00001B060000}"/>
    <hyperlink ref="L1580" r:id="rId1565" tooltip="🔗 Ver Mapa" display="🔗 Ver Mapa" xr:uid="{00000000-0004-0000-0000-00001C060000}"/>
    <hyperlink ref="L1581" r:id="rId1566" tooltip="🔗 Ver Mapa" display="🔗 Ver Mapa" xr:uid="{00000000-0004-0000-0000-00001D060000}"/>
    <hyperlink ref="L1582" r:id="rId1567" tooltip="🔗 Ver Mapa" display="🔗 Ver Mapa" xr:uid="{00000000-0004-0000-0000-00001E060000}"/>
    <hyperlink ref="L1583" r:id="rId1568" tooltip="🔗 Ver Mapa" display="🔗 Ver Mapa" xr:uid="{00000000-0004-0000-0000-00001F060000}"/>
    <hyperlink ref="L1584" r:id="rId1569" tooltip="🔗 Ver Mapa" display="🔗 Ver Mapa" xr:uid="{00000000-0004-0000-0000-000020060000}"/>
    <hyperlink ref="L1585" r:id="rId1570" tooltip="🔗 Ver Mapa" display="🔗 Ver Mapa" xr:uid="{00000000-0004-0000-0000-000021060000}"/>
    <hyperlink ref="L1586" r:id="rId1571" tooltip="🔗 Ver Mapa" display="🔗 Ver Mapa" xr:uid="{00000000-0004-0000-0000-000022060000}"/>
    <hyperlink ref="L1587" r:id="rId1572" tooltip="🔗 Ver Mapa" display="🔗 Ver Mapa" xr:uid="{00000000-0004-0000-0000-000023060000}"/>
    <hyperlink ref="L1588" r:id="rId1573" tooltip="🔗 Ver Mapa" display="🔗 Ver Mapa" xr:uid="{00000000-0004-0000-0000-000024060000}"/>
    <hyperlink ref="L1589" r:id="rId1574" tooltip="🔗 Ver Mapa" display="🔗 Ver Mapa" xr:uid="{00000000-0004-0000-0000-000025060000}"/>
    <hyperlink ref="L1590" r:id="rId1575" tooltip="🔗 Ver Mapa" display="🔗 Ver Mapa" xr:uid="{00000000-0004-0000-0000-000026060000}"/>
    <hyperlink ref="L1591" r:id="rId1576" tooltip="🔗 Ver Mapa" display="🔗 Ver Mapa" xr:uid="{00000000-0004-0000-0000-000027060000}"/>
    <hyperlink ref="L1592" r:id="rId1577" tooltip="🔗 Ver Mapa" display="🔗 Ver Mapa" xr:uid="{00000000-0004-0000-0000-000028060000}"/>
    <hyperlink ref="L1593" r:id="rId1578" tooltip="🔗 Ver Mapa" display="🔗 Ver Mapa" xr:uid="{00000000-0004-0000-0000-000029060000}"/>
    <hyperlink ref="L1594" r:id="rId1579" tooltip="🔗 Ver Mapa" display="🔗 Ver Mapa" xr:uid="{00000000-0004-0000-0000-00002A060000}"/>
    <hyperlink ref="L1595" r:id="rId1580" tooltip="🔗 Ver Mapa" display="🔗 Ver Mapa" xr:uid="{00000000-0004-0000-0000-00002B060000}"/>
    <hyperlink ref="L1596" r:id="rId1581" tooltip="🔗 Ver Mapa" display="🔗 Ver Mapa" xr:uid="{00000000-0004-0000-0000-00002C060000}"/>
    <hyperlink ref="L1597" r:id="rId1582" tooltip="🔗 Ver Mapa" display="🔗 Ver Mapa" xr:uid="{00000000-0004-0000-0000-00002D060000}"/>
    <hyperlink ref="L1598" r:id="rId1583" tooltip="🔗 Ver Mapa" display="🔗 Ver Mapa" xr:uid="{00000000-0004-0000-0000-00002E060000}"/>
    <hyperlink ref="L1599" r:id="rId1584" tooltip="🔗 Ver Mapa" display="🔗 Ver Mapa" xr:uid="{00000000-0004-0000-0000-00002F060000}"/>
    <hyperlink ref="L1600" r:id="rId1585" tooltip="🔗 Ver Mapa" display="🔗 Ver Mapa" xr:uid="{00000000-0004-0000-0000-000030060000}"/>
    <hyperlink ref="L1601" r:id="rId1586" tooltip="🔗 Ver Mapa" display="🔗 Ver Mapa" xr:uid="{00000000-0004-0000-0000-000031060000}"/>
    <hyperlink ref="L1602" r:id="rId1587" tooltip="🔗 Ver Mapa" display="🔗 Ver Mapa" xr:uid="{00000000-0004-0000-0000-000032060000}"/>
    <hyperlink ref="L1603" r:id="rId1588" tooltip="🔗 Ver Mapa" display="🔗 Ver Mapa" xr:uid="{00000000-0004-0000-0000-000033060000}"/>
    <hyperlink ref="L1604" r:id="rId1589" tooltip="🔗 Ver Mapa" display="🔗 Ver Mapa" xr:uid="{00000000-0004-0000-0000-000034060000}"/>
    <hyperlink ref="L1605" r:id="rId1590" tooltip="🔗 Ver Mapa" display="🔗 Ver Mapa" xr:uid="{00000000-0004-0000-0000-000035060000}"/>
    <hyperlink ref="L1606" r:id="rId1591" tooltip="🔗 Ver Mapa" display="🔗 Ver Mapa" xr:uid="{00000000-0004-0000-0000-000036060000}"/>
    <hyperlink ref="L1607" r:id="rId1592" tooltip="🔗 Ver Mapa" display="🔗 Ver Mapa" xr:uid="{00000000-0004-0000-0000-000037060000}"/>
    <hyperlink ref="L1608" r:id="rId1593" tooltip="🔗 Ver Mapa" display="🔗 Ver Mapa" xr:uid="{00000000-0004-0000-0000-000038060000}"/>
    <hyperlink ref="L1609" r:id="rId1594" tooltip="🔗 Ver Mapa" display="🔗 Ver Mapa" xr:uid="{00000000-0004-0000-0000-000039060000}"/>
    <hyperlink ref="L1610" r:id="rId1595" tooltip="🔗 Ver Mapa" display="🔗 Ver Mapa" xr:uid="{00000000-0004-0000-0000-00003A060000}"/>
    <hyperlink ref="L1611" r:id="rId1596" tooltip="🔗 Ver Mapa" display="🔗 Ver Mapa" xr:uid="{00000000-0004-0000-0000-00003B060000}"/>
    <hyperlink ref="L1612" r:id="rId1597" tooltip="🔗 Ver Mapa" display="🔗 Ver Mapa" xr:uid="{00000000-0004-0000-0000-00003C060000}"/>
    <hyperlink ref="L1613" r:id="rId1598" tooltip="🔗 Ver Mapa" display="🔗 Ver Mapa" xr:uid="{00000000-0004-0000-0000-00003D060000}"/>
    <hyperlink ref="L1614" r:id="rId1599" tooltip="🔗 Ver Mapa" display="🔗 Ver Mapa" xr:uid="{00000000-0004-0000-0000-00003E060000}"/>
    <hyperlink ref="L1615" r:id="rId1600" tooltip="🔗 Ver Mapa" display="🔗 Ver Mapa" xr:uid="{00000000-0004-0000-0000-00003F060000}"/>
    <hyperlink ref="L1616" r:id="rId1601" tooltip="🔗 Ver Mapa" display="🔗 Ver Mapa" xr:uid="{00000000-0004-0000-0000-000040060000}"/>
    <hyperlink ref="L1617" r:id="rId1602" tooltip="🔗 Ver Mapa" display="🔗 Ver Mapa" xr:uid="{00000000-0004-0000-0000-000041060000}"/>
    <hyperlink ref="L1618" r:id="rId1603" tooltip="🔗 Ver Mapa" display="🔗 Ver Mapa" xr:uid="{00000000-0004-0000-0000-000042060000}"/>
    <hyperlink ref="L1619" r:id="rId1604" tooltip="🔗 Ver Mapa" display="🔗 Ver Mapa" xr:uid="{00000000-0004-0000-0000-000043060000}"/>
    <hyperlink ref="L1620" r:id="rId1605" tooltip="🔗 Ver Mapa" display="🔗 Ver Mapa" xr:uid="{00000000-0004-0000-0000-000044060000}"/>
    <hyperlink ref="L1621" r:id="rId1606" tooltip="🔗 Ver Mapa" display="🔗 Ver Mapa" xr:uid="{00000000-0004-0000-0000-000045060000}"/>
    <hyperlink ref="L1622" r:id="rId1607" tooltip="🔗 Ver Mapa" display="🔗 Ver Mapa" xr:uid="{00000000-0004-0000-0000-000046060000}"/>
    <hyperlink ref="L1623" r:id="rId1608" tooltip="🔗 Ver Mapa" display="🔗 Ver Mapa" xr:uid="{00000000-0004-0000-0000-000047060000}"/>
    <hyperlink ref="L1624" r:id="rId1609" tooltip="🔗 Ver Mapa" display="🔗 Ver Mapa" xr:uid="{00000000-0004-0000-0000-000048060000}"/>
    <hyperlink ref="L1625" r:id="rId1610" tooltip="🔗 Ver Mapa" display="🔗 Ver Mapa" xr:uid="{00000000-0004-0000-0000-000049060000}"/>
    <hyperlink ref="L1626" r:id="rId1611" tooltip="🔗 Ver Mapa" display="🔗 Ver Mapa" xr:uid="{00000000-0004-0000-0000-00004A060000}"/>
    <hyperlink ref="L1627" r:id="rId1612" tooltip="🔗 Ver Mapa" display="🔗 Ver Mapa" xr:uid="{00000000-0004-0000-0000-00004B060000}"/>
    <hyperlink ref="L1628" r:id="rId1613" tooltip="🔗 Ver Mapa" display="🔗 Ver Mapa" xr:uid="{00000000-0004-0000-0000-00004C060000}"/>
    <hyperlink ref="L1629" r:id="rId1614" tooltip="🔗 Ver Mapa" display="🔗 Ver Mapa" xr:uid="{00000000-0004-0000-0000-00004D060000}"/>
    <hyperlink ref="L1630" r:id="rId1615" tooltip="🔗 Ver Mapa" display="🔗 Ver Mapa" xr:uid="{00000000-0004-0000-0000-00004E060000}"/>
    <hyperlink ref="L1631" r:id="rId1616" tooltip="🔗 Ver Mapa" display="🔗 Ver Mapa" xr:uid="{00000000-0004-0000-0000-00004F060000}"/>
    <hyperlink ref="L1632" r:id="rId1617" tooltip="🔗 Ver Mapa" display="🔗 Ver Mapa" xr:uid="{00000000-0004-0000-0000-000050060000}"/>
    <hyperlink ref="L1633" r:id="rId1618" tooltip="🔗 Ver Mapa" display="🔗 Ver Mapa" xr:uid="{00000000-0004-0000-0000-000051060000}"/>
    <hyperlink ref="L1634" r:id="rId1619" tooltip="🔗 Ver Mapa" display="🔗 Ver Mapa" xr:uid="{00000000-0004-0000-0000-000052060000}"/>
    <hyperlink ref="L1635" r:id="rId1620" tooltip="🔗 Ver Mapa" display="🔗 Ver Mapa" xr:uid="{00000000-0004-0000-0000-000053060000}"/>
    <hyperlink ref="L1636" r:id="rId1621" tooltip="🔗 Ver Mapa" display="🔗 Ver Mapa" xr:uid="{00000000-0004-0000-0000-000054060000}"/>
    <hyperlink ref="L1637" r:id="rId1622" tooltip="🔗 Ver Mapa" display="🔗 Ver Mapa" xr:uid="{00000000-0004-0000-0000-000055060000}"/>
    <hyperlink ref="L1638" r:id="rId1623" tooltip="🔗 Ver Mapa" display="🔗 Ver Mapa" xr:uid="{00000000-0004-0000-0000-000056060000}"/>
    <hyperlink ref="L1639" r:id="rId1624" tooltip="🔗 Ver Mapa" display="🔗 Ver Mapa" xr:uid="{00000000-0004-0000-0000-000057060000}"/>
    <hyperlink ref="L1640" r:id="rId1625" tooltip="🔗 Ver Mapa" display="🔗 Ver Mapa" xr:uid="{00000000-0004-0000-0000-000058060000}"/>
    <hyperlink ref="L1641" r:id="rId1626" tooltip="🔗 Ver Mapa" display="🔗 Ver Mapa" xr:uid="{00000000-0004-0000-0000-000059060000}"/>
    <hyperlink ref="L1642" r:id="rId1627" tooltip="🔗 Ver Mapa" display="🔗 Ver Mapa" xr:uid="{00000000-0004-0000-0000-00005A060000}"/>
    <hyperlink ref="L1643" r:id="rId1628" tooltip="🔗 Ver Mapa" display="🔗 Ver Mapa" xr:uid="{00000000-0004-0000-0000-00005B060000}"/>
    <hyperlink ref="L1644" r:id="rId1629" tooltip="🔗 Ver Mapa" display="🔗 Ver Mapa" xr:uid="{00000000-0004-0000-0000-00005C060000}"/>
    <hyperlink ref="L1645" r:id="rId1630" tooltip="🔗 Ver Mapa" display="🔗 Ver Mapa" xr:uid="{00000000-0004-0000-0000-00005D060000}"/>
    <hyperlink ref="L1646" r:id="rId1631" tooltip="🔗 Ver Mapa" display="🔗 Ver Mapa" xr:uid="{00000000-0004-0000-0000-00005E060000}"/>
    <hyperlink ref="L1647" r:id="rId1632" tooltip="🔗 Ver Mapa" display="🔗 Ver Mapa" xr:uid="{00000000-0004-0000-0000-00005F060000}"/>
    <hyperlink ref="L1648" r:id="rId1633" tooltip="🔗 Ver Mapa" display="🔗 Ver Mapa" xr:uid="{00000000-0004-0000-0000-000060060000}"/>
    <hyperlink ref="L1649" r:id="rId1634" tooltip="🔗 Ver Mapa" display="🔗 Ver Mapa" xr:uid="{00000000-0004-0000-0000-000061060000}"/>
    <hyperlink ref="L1650" r:id="rId1635" tooltip="🔗 Ver Mapa" display="🔗 Ver Mapa" xr:uid="{00000000-0004-0000-0000-000062060000}"/>
    <hyperlink ref="L1651" r:id="rId1636" tooltip="🔗 Ver Mapa" display="🔗 Ver Mapa" xr:uid="{00000000-0004-0000-0000-000063060000}"/>
    <hyperlink ref="L1652" r:id="rId1637" tooltip="🔗 Ver Mapa" display="🔗 Ver Mapa" xr:uid="{00000000-0004-0000-0000-000064060000}"/>
    <hyperlink ref="L1653" r:id="rId1638" tooltip="🔗 Ver Mapa" display="🔗 Ver Mapa" xr:uid="{00000000-0004-0000-0000-000065060000}"/>
    <hyperlink ref="L1654" r:id="rId1639" tooltip="🔗 Ver Mapa" display="🔗 Ver Mapa" xr:uid="{00000000-0004-0000-0000-000066060000}"/>
    <hyperlink ref="L1655" r:id="rId1640" tooltip="🔗 Ver Mapa" display="🔗 Ver Mapa" xr:uid="{00000000-0004-0000-0000-000067060000}"/>
    <hyperlink ref="L1656" r:id="rId1641" tooltip="🔗 Ver Mapa" display="🔗 Ver Mapa" xr:uid="{00000000-0004-0000-0000-000068060000}"/>
    <hyperlink ref="L1657" r:id="rId1642" tooltip="🔗 Ver Mapa" display="🔗 Ver Mapa" xr:uid="{00000000-0004-0000-0000-000069060000}"/>
    <hyperlink ref="L1658" r:id="rId1643" tooltip="🔗 Ver Mapa" display="🔗 Ver Mapa" xr:uid="{00000000-0004-0000-0000-00006A060000}"/>
    <hyperlink ref="L1659" r:id="rId1644" tooltip="🔗 Ver Mapa" display="🔗 Ver Mapa" xr:uid="{00000000-0004-0000-0000-00006B060000}"/>
    <hyperlink ref="L1660" r:id="rId1645" tooltip="🔗 Ver Mapa" display="🔗 Ver Mapa" xr:uid="{00000000-0004-0000-0000-00006C060000}"/>
    <hyperlink ref="L1661" r:id="rId1646" tooltip="🔗 Ver Mapa" display="🔗 Ver Mapa" xr:uid="{00000000-0004-0000-0000-00006D060000}"/>
    <hyperlink ref="L1662" r:id="rId1647" tooltip="🔗 Ver Mapa" display="🔗 Ver Mapa" xr:uid="{00000000-0004-0000-0000-00006E060000}"/>
    <hyperlink ref="L1663" r:id="rId1648" tooltip="🔗 Ver Mapa" display="🔗 Ver Mapa" xr:uid="{00000000-0004-0000-0000-00006F060000}"/>
    <hyperlink ref="L1664" r:id="rId1649" tooltip="🔗 Ver Mapa" display="🔗 Ver Mapa" xr:uid="{00000000-0004-0000-0000-000070060000}"/>
    <hyperlink ref="L1665" r:id="rId1650" tooltip="🔗 Ver Mapa" display="🔗 Ver Mapa" xr:uid="{00000000-0004-0000-0000-000071060000}"/>
    <hyperlink ref="L1666" r:id="rId1651" tooltip="🔗 Ver Mapa" display="🔗 Ver Mapa" xr:uid="{00000000-0004-0000-0000-000072060000}"/>
    <hyperlink ref="L1667" r:id="rId1652" tooltip="🔗 Ver Mapa" display="🔗 Ver Mapa" xr:uid="{00000000-0004-0000-0000-000073060000}"/>
    <hyperlink ref="L1668" r:id="rId1653" tooltip="🔗 Ver Mapa" display="🔗 Ver Mapa" xr:uid="{00000000-0004-0000-0000-000074060000}"/>
    <hyperlink ref="L1669" r:id="rId1654" tooltip="🔗 Ver Mapa" display="🔗 Ver Mapa" xr:uid="{00000000-0004-0000-0000-000075060000}"/>
    <hyperlink ref="L1670" r:id="rId1655" tooltip="🔗 Ver Mapa" display="🔗 Ver Mapa" xr:uid="{00000000-0004-0000-0000-000076060000}"/>
    <hyperlink ref="L1671" r:id="rId1656" tooltip="🔗 Ver Mapa" display="🔗 Ver Mapa" xr:uid="{00000000-0004-0000-0000-000077060000}"/>
    <hyperlink ref="L1672" r:id="rId1657" tooltip="🔗 Ver Mapa" display="🔗 Ver Mapa" xr:uid="{00000000-0004-0000-0000-000078060000}"/>
    <hyperlink ref="L1673" r:id="rId1658" tooltip="🔗 Ver Mapa" display="🔗 Ver Mapa" xr:uid="{00000000-0004-0000-0000-000079060000}"/>
    <hyperlink ref="L1674" r:id="rId1659" tooltip="🔗 Ver Mapa" display="🔗 Ver Mapa" xr:uid="{00000000-0004-0000-0000-00007A060000}"/>
    <hyperlink ref="L1675" r:id="rId1660" tooltip="🔗 Ver Mapa" display="🔗 Ver Mapa" xr:uid="{00000000-0004-0000-0000-00007B060000}"/>
    <hyperlink ref="L1676" r:id="rId1661" tooltip="🔗 Ver Mapa" display="🔗 Ver Mapa" xr:uid="{00000000-0004-0000-0000-00007C060000}"/>
    <hyperlink ref="L1677" r:id="rId1662" tooltip="🔗 Ver Mapa" display="🔗 Ver Mapa" xr:uid="{00000000-0004-0000-0000-00007D060000}"/>
    <hyperlink ref="L1678" r:id="rId1663" tooltip="🔗 Ver Mapa" display="🔗 Ver Mapa" xr:uid="{00000000-0004-0000-0000-00007E060000}"/>
    <hyperlink ref="L1679" r:id="rId1664" tooltip="🔗 Ver Mapa" display="🔗 Ver Mapa" xr:uid="{00000000-0004-0000-0000-00007F060000}"/>
    <hyperlink ref="L1680" r:id="rId1665" tooltip="🔗 Ver Mapa" display="🔗 Ver Mapa" xr:uid="{00000000-0004-0000-0000-000080060000}"/>
    <hyperlink ref="L1681" r:id="rId1666" tooltip="🔗 Ver Mapa" display="🔗 Ver Mapa" xr:uid="{00000000-0004-0000-0000-000081060000}"/>
    <hyperlink ref="L1682" r:id="rId1667" tooltip="🔗 Ver Mapa" display="🔗 Ver Mapa" xr:uid="{00000000-0004-0000-0000-000082060000}"/>
    <hyperlink ref="L1683" r:id="rId1668" tooltip="🔗 Ver Mapa" display="🔗 Ver Mapa" xr:uid="{00000000-0004-0000-0000-000083060000}"/>
    <hyperlink ref="L1684" r:id="rId1669" tooltip="🔗 Ver Mapa" display="🔗 Ver Mapa" xr:uid="{00000000-0004-0000-0000-000084060000}"/>
    <hyperlink ref="L1685" r:id="rId1670" tooltip="🔗 Ver Mapa" display="🔗 Ver Mapa" xr:uid="{00000000-0004-0000-0000-000085060000}"/>
    <hyperlink ref="L1686" r:id="rId1671" tooltip="🔗 Ver Mapa" display="🔗 Ver Mapa" xr:uid="{00000000-0004-0000-0000-000086060000}"/>
    <hyperlink ref="L1687" r:id="rId1672" tooltip="🔗 Ver Mapa" display="🔗 Ver Mapa" xr:uid="{00000000-0004-0000-0000-000087060000}"/>
    <hyperlink ref="L1688" r:id="rId1673" tooltip="🔗 Ver Mapa" display="🔗 Ver Mapa" xr:uid="{00000000-0004-0000-0000-000088060000}"/>
    <hyperlink ref="L1689" r:id="rId1674" tooltip="🔗 Ver Mapa" display="🔗 Ver Mapa" xr:uid="{00000000-0004-0000-0000-000089060000}"/>
    <hyperlink ref="L1690" r:id="rId1675" tooltip="🔗 Ver Mapa" display="🔗 Ver Mapa" xr:uid="{00000000-0004-0000-0000-00008A060000}"/>
    <hyperlink ref="L1691" r:id="rId1676" tooltip="🔗 Ver Mapa" display="🔗 Ver Mapa" xr:uid="{00000000-0004-0000-0000-00008B060000}"/>
    <hyperlink ref="L1692" r:id="rId1677" tooltip="🔗 Ver Mapa" display="🔗 Ver Mapa" xr:uid="{00000000-0004-0000-0000-00008C060000}"/>
    <hyperlink ref="L1693" r:id="rId1678" tooltip="🔗 Ver Mapa" display="🔗 Ver Mapa" xr:uid="{00000000-0004-0000-0000-00008D060000}"/>
    <hyperlink ref="L1694" r:id="rId1679" tooltip="🔗 Ver Mapa" display="🔗 Ver Mapa" xr:uid="{00000000-0004-0000-0000-00008E060000}"/>
    <hyperlink ref="L1695" r:id="rId1680" tooltip="🔗 Ver Mapa" display="🔗 Ver Mapa" xr:uid="{00000000-0004-0000-0000-00008F060000}"/>
    <hyperlink ref="L1696" r:id="rId1681" tooltip="🔗 Ver Mapa" display="🔗 Ver Mapa" xr:uid="{00000000-0004-0000-0000-000090060000}"/>
    <hyperlink ref="L1697" r:id="rId1682" tooltip="🔗 Ver Mapa" display="🔗 Ver Mapa" xr:uid="{00000000-0004-0000-0000-000091060000}"/>
    <hyperlink ref="L1698" r:id="rId1683" tooltip="🔗 Ver Mapa" display="🔗 Ver Mapa" xr:uid="{00000000-0004-0000-0000-000092060000}"/>
    <hyperlink ref="L1699" r:id="rId1684" tooltip="🔗 Ver Mapa" display="🔗 Ver Mapa" xr:uid="{00000000-0004-0000-0000-000093060000}"/>
    <hyperlink ref="L1700" r:id="rId1685" tooltip="🔗 Ver Mapa" display="🔗 Ver Mapa" xr:uid="{00000000-0004-0000-0000-000094060000}"/>
    <hyperlink ref="L1701" r:id="rId1686" tooltip="🔗 Ver Mapa" display="🔗 Ver Mapa" xr:uid="{00000000-0004-0000-0000-000095060000}"/>
    <hyperlink ref="L1702" r:id="rId1687" tooltip="🔗 Ver Mapa" display="🔗 Ver Mapa" xr:uid="{00000000-0004-0000-0000-000096060000}"/>
    <hyperlink ref="L1703" r:id="rId1688" tooltip="🔗 Ver Mapa" display="🔗 Ver Mapa" xr:uid="{00000000-0004-0000-0000-000097060000}"/>
    <hyperlink ref="L1704" r:id="rId1689" tooltip="🔗 Ver Mapa" display="🔗 Ver Mapa" xr:uid="{00000000-0004-0000-0000-000098060000}"/>
    <hyperlink ref="L1705" r:id="rId1690" tooltip="🔗 Ver Mapa" display="🔗 Ver Mapa" xr:uid="{00000000-0004-0000-0000-000099060000}"/>
    <hyperlink ref="L1706" r:id="rId1691" tooltip="🔗 Ver Mapa" display="🔗 Ver Mapa" xr:uid="{00000000-0004-0000-0000-00009A060000}"/>
    <hyperlink ref="L1707" r:id="rId1692" tooltip="🔗 Ver Mapa" display="🔗 Ver Mapa" xr:uid="{00000000-0004-0000-0000-00009B060000}"/>
    <hyperlink ref="L1708" r:id="rId1693" tooltip="🔗 Ver Mapa" display="🔗 Ver Mapa" xr:uid="{00000000-0004-0000-0000-00009C060000}"/>
    <hyperlink ref="L1709" r:id="rId1694" tooltip="🔗 Ver Mapa" display="🔗 Ver Mapa" xr:uid="{00000000-0004-0000-0000-00009D060000}"/>
    <hyperlink ref="L1710" r:id="rId1695" tooltip="🔗 Ver Mapa" display="🔗 Ver Mapa" xr:uid="{00000000-0004-0000-0000-00009E060000}"/>
    <hyperlink ref="L1711" r:id="rId1696" tooltip="🔗 Ver Mapa" display="🔗 Ver Mapa" xr:uid="{00000000-0004-0000-0000-00009F060000}"/>
    <hyperlink ref="L1712" r:id="rId1697" tooltip="🔗 Ver Mapa" display="🔗 Ver Mapa" xr:uid="{00000000-0004-0000-0000-0000A0060000}"/>
    <hyperlink ref="L1713" r:id="rId1698" tooltip="🔗 Ver Mapa" display="🔗 Ver Mapa" xr:uid="{00000000-0004-0000-0000-0000A1060000}"/>
    <hyperlink ref="L1714" r:id="rId1699" tooltip="🔗 Ver Mapa" display="🔗 Ver Mapa" xr:uid="{00000000-0004-0000-0000-0000A2060000}"/>
    <hyperlink ref="L1715" r:id="rId1700" tooltip="🔗 Ver Mapa" display="🔗 Ver Mapa" xr:uid="{00000000-0004-0000-0000-0000A3060000}"/>
    <hyperlink ref="L1716" r:id="rId1701" tooltip="🔗 Ver Mapa" display="🔗 Ver Mapa" xr:uid="{00000000-0004-0000-0000-0000A4060000}"/>
    <hyperlink ref="L1717" r:id="rId1702" tooltip="🔗 Ver Mapa" display="🔗 Ver Mapa" xr:uid="{00000000-0004-0000-0000-0000A5060000}"/>
    <hyperlink ref="L1718" r:id="rId1703" tooltip="🔗 Ver Mapa" display="🔗 Ver Mapa" xr:uid="{00000000-0004-0000-0000-0000A6060000}"/>
    <hyperlink ref="L1719" r:id="rId1704" tooltip="🔗 Ver Mapa" display="🔗 Ver Mapa" xr:uid="{00000000-0004-0000-0000-0000A7060000}"/>
    <hyperlink ref="L1720" r:id="rId1705" tooltip="🔗 Ver Mapa" display="🔗 Ver Mapa" xr:uid="{00000000-0004-0000-0000-0000A8060000}"/>
    <hyperlink ref="L1721" r:id="rId1706" tooltip="🔗 Ver Mapa" display="🔗 Ver Mapa" xr:uid="{00000000-0004-0000-0000-0000A9060000}"/>
    <hyperlink ref="L1722" r:id="rId1707" tooltip="🔗 Ver Mapa" display="🔗 Ver Mapa" xr:uid="{00000000-0004-0000-0000-0000AA060000}"/>
    <hyperlink ref="L1723" r:id="rId1708" tooltip="🔗 Ver Mapa" display="🔗 Ver Mapa" xr:uid="{00000000-0004-0000-0000-0000AB060000}"/>
    <hyperlink ref="L1724" r:id="rId1709" tooltip="🔗 Ver Mapa" display="🔗 Ver Mapa" xr:uid="{00000000-0004-0000-0000-0000AC060000}"/>
    <hyperlink ref="L1725" r:id="rId1710" tooltip="🔗 Ver Mapa" display="🔗 Ver Mapa" xr:uid="{00000000-0004-0000-0000-0000AD060000}"/>
    <hyperlink ref="L1726" r:id="rId1711" tooltip="🔗 Ver Mapa" display="🔗 Ver Mapa" xr:uid="{00000000-0004-0000-0000-0000AE060000}"/>
    <hyperlink ref="L1727" r:id="rId1712" tooltip="🔗 Ver Mapa" display="🔗 Ver Mapa" xr:uid="{00000000-0004-0000-0000-0000AF060000}"/>
    <hyperlink ref="L1728" r:id="rId1713" tooltip="🔗 Ver Mapa" display="🔗 Ver Mapa" xr:uid="{00000000-0004-0000-0000-0000B0060000}"/>
    <hyperlink ref="L1729" r:id="rId1714" tooltip="🔗 Ver Mapa" display="🔗 Ver Mapa" xr:uid="{00000000-0004-0000-0000-0000B1060000}"/>
    <hyperlink ref="L1730" r:id="rId1715" tooltip="🔗 Ver Mapa" display="🔗 Ver Mapa" xr:uid="{00000000-0004-0000-0000-0000B2060000}"/>
    <hyperlink ref="L1731" r:id="rId1716" tooltip="🔗 Ver Mapa" display="🔗 Ver Mapa" xr:uid="{00000000-0004-0000-0000-0000B3060000}"/>
    <hyperlink ref="L1732" r:id="rId1717" tooltip="🔗 Ver Mapa" display="🔗 Ver Mapa" xr:uid="{00000000-0004-0000-0000-0000B4060000}"/>
    <hyperlink ref="L1733" r:id="rId1718" tooltip="🔗 Ver Mapa" display="🔗 Ver Mapa" xr:uid="{00000000-0004-0000-0000-0000B5060000}"/>
    <hyperlink ref="L1734" r:id="rId1719" tooltip="🔗 Ver Mapa" display="🔗 Ver Mapa" xr:uid="{00000000-0004-0000-0000-0000B6060000}"/>
    <hyperlink ref="L1735" r:id="rId1720" tooltip="🔗 Ver Mapa" display="🔗 Ver Mapa" xr:uid="{00000000-0004-0000-0000-0000B7060000}"/>
    <hyperlink ref="L1736" r:id="rId1721" tooltip="🔗 Ver Mapa" display="🔗 Ver Mapa" xr:uid="{00000000-0004-0000-0000-0000B8060000}"/>
    <hyperlink ref="L1737" r:id="rId1722" tooltip="🔗 Ver Mapa" display="🔗 Ver Mapa" xr:uid="{00000000-0004-0000-0000-0000B9060000}"/>
    <hyperlink ref="L1738" r:id="rId1723" tooltip="🔗 Ver Mapa" display="🔗 Ver Mapa" xr:uid="{00000000-0004-0000-0000-0000BA060000}"/>
    <hyperlink ref="L1739" r:id="rId1724" tooltip="🔗 Ver Mapa" display="🔗 Ver Mapa" xr:uid="{00000000-0004-0000-0000-0000BB060000}"/>
    <hyperlink ref="L1740" r:id="rId1725" tooltip="🔗 Ver Mapa" display="🔗 Ver Mapa" xr:uid="{00000000-0004-0000-0000-0000BC060000}"/>
    <hyperlink ref="L1741" r:id="rId1726" tooltip="🔗 Ver Mapa" display="🔗 Ver Mapa" xr:uid="{00000000-0004-0000-0000-0000BD060000}"/>
    <hyperlink ref="L1742" r:id="rId1727" tooltip="🔗 Ver Mapa" display="🔗 Ver Mapa" xr:uid="{00000000-0004-0000-0000-0000BE060000}"/>
    <hyperlink ref="L1743" r:id="rId1728" tooltip="🔗 Ver Mapa" display="🔗 Ver Mapa" xr:uid="{00000000-0004-0000-0000-0000BF060000}"/>
    <hyperlink ref="L1744" r:id="rId1729" tooltip="🔗 Ver Mapa" display="🔗 Ver Mapa" xr:uid="{00000000-0004-0000-0000-0000C0060000}"/>
    <hyperlink ref="L1745" r:id="rId1730" tooltip="🔗 Ver Mapa" display="🔗 Ver Mapa" xr:uid="{00000000-0004-0000-0000-0000C1060000}"/>
    <hyperlink ref="L1746" r:id="rId1731" tooltip="🔗 Ver Mapa" display="🔗 Ver Mapa" xr:uid="{00000000-0004-0000-0000-0000C2060000}"/>
    <hyperlink ref="L1747" r:id="rId1732" tooltip="🔗 Ver Mapa" display="🔗 Ver Mapa" xr:uid="{00000000-0004-0000-0000-0000C3060000}"/>
    <hyperlink ref="L1748" r:id="rId1733" tooltip="🔗 Ver Mapa" display="🔗 Ver Mapa" xr:uid="{00000000-0004-0000-0000-0000C4060000}"/>
    <hyperlink ref="L1749" r:id="rId1734" tooltip="🔗 Ver Mapa" display="🔗 Ver Mapa" xr:uid="{00000000-0004-0000-0000-0000C5060000}"/>
    <hyperlink ref="L1750" r:id="rId1735" tooltip="🔗 Ver Mapa" display="🔗 Ver Mapa" xr:uid="{00000000-0004-0000-0000-0000C6060000}"/>
    <hyperlink ref="L1751" r:id="rId1736" tooltip="🔗 Ver Mapa" display="🔗 Ver Mapa" xr:uid="{00000000-0004-0000-0000-0000C7060000}"/>
    <hyperlink ref="L1752" r:id="rId1737" tooltip="🔗 Ver Mapa" display="🔗 Ver Mapa" xr:uid="{00000000-0004-0000-0000-0000C8060000}"/>
    <hyperlink ref="L1753" r:id="rId1738" tooltip="🔗 Ver Mapa" display="🔗 Ver Mapa" xr:uid="{00000000-0004-0000-0000-0000C9060000}"/>
    <hyperlink ref="L1754" r:id="rId1739" tooltip="🔗 Ver Mapa" display="🔗 Ver Mapa" xr:uid="{00000000-0004-0000-0000-0000CA060000}"/>
    <hyperlink ref="L1755" r:id="rId1740" tooltip="🔗 Ver Mapa" display="🔗 Ver Mapa" xr:uid="{00000000-0004-0000-0000-0000CB060000}"/>
    <hyperlink ref="L1756" r:id="rId1741" tooltip="🔗 Ver Mapa" display="🔗 Ver Mapa" xr:uid="{00000000-0004-0000-0000-0000CC060000}"/>
    <hyperlink ref="L1757" r:id="rId1742" tooltip="🔗 Ver Mapa" display="🔗 Ver Mapa" xr:uid="{00000000-0004-0000-0000-0000CD060000}"/>
    <hyperlink ref="L1758" r:id="rId1743" tooltip="🔗 Ver Mapa" display="🔗 Ver Mapa" xr:uid="{00000000-0004-0000-0000-0000CE060000}"/>
    <hyperlink ref="L1759" r:id="rId1744" tooltip="🔗 Ver Mapa" display="🔗 Ver Mapa" xr:uid="{00000000-0004-0000-0000-0000CF060000}"/>
    <hyperlink ref="L1760" r:id="rId1745" tooltip="🔗 Ver Mapa" display="🔗 Ver Mapa" xr:uid="{00000000-0004-0000-0000-0000D0060000}"/>
    <hyperlink ref="L1761" r:id="rId1746" tooltip="🔗 Ver Mapa" display="🔗 Ver Mapa" xr:uid="{00000000-0004-0000-0000-0000D1060000}"/>
    <hyperlink ref="L1762" r:id="rId1747" tooltip="🔗 Ver Mapa" display="🔗 Ver Mapa" xr:uid="{00000000-0004-0000-0000-0000D2060000}"/>
    <hyperlink ref="L1763" r:id="rId1748" tooltip="🔗 Ver Mapa" display="🔗 Ver Mapa" xr:uid="{00000000-0004-0000-0000-0000D3060000}"/>
    <hyperlink ref="L1764" r:id="rId1749" tooltip="🔗 Ver Mapa" display="🔗 Ver Mapa" xr:uid="{00000000-0004-0000-0000-0000D4060000}"/>
    <hyperlink ref="L1765" r:id="rId1750" tooltip="🔗 Ver Mapa" display="🔗 Ver Mapa" xr:uid="{00000000-0004-0000-0000-0000D5060000}"/>
    <hyperlink ref="L1766" r:id="rId1751" tooltip="🔗 Ver Mapa" display="🔗 Ver Mapa" xr:uid="{00000000-0004-0000-0000-0000D6060000}"/>
    <hyperlink ref="L1767" r:id="rId1752" tooltip="🔗 Ver Mapa" display="🔗 Ver Mapa" xr:uid="{00000000-0004-0000-0000-0000D7060000}"/>
    <hyperlink ref="L1768" r:id="rId1753" tooltip="🔗 Ver Mapa" display="🔗 Ver Mapa" xr:uid="{00000000-0004-0000-0000-0000D8060000}"/>
    <hyperlink ref="L1769" r:id="rId1754" tooltip="🔗 Ver Mapa" display="🔗 Ver Mapa" xr:uid="{00000000-0004-0000-0000-0000D9060000}"/>
    <hyperlink ref="L1770" r:id="rId1755" tooltip="🔗 Ver Mapa" display="🔗 Ver Mapa" xr:uid="{00000000-0004-0000-0000-0000DA060000}"/>
    <hyperlink ref="L1771" r:id="rId1756" tooltip="🔗 Ver Mapa" display="🔗 Ver Mapa" xr:uid="{00000000-0004-0000-0000-0000DB060000}"/>
    <hyperlink ref="L1772" r:id="rId1757" tooltip="🔗 Ver Mapa" display="🔗 Ver Mapa" xr:uid="{00000000-0004-0000-0000-0000DC060000}"/>
    <hyperlink ref="L1773" r:id="rId1758" tooltip="🔗 Ver Mapa" display="🔗 Ver Mapa" xr:uid="{00000000-0004-0000-0000-0000DD060000}"/>
    <hyperlink ref="L1774" r:id="rId1759" tooltip="🔗 Ver Mapa" display="🔗 Ver Mapa" xr:uid="{00000000-0004-0000-0000-0000DE060000}"/>
    <hyperlink ref="L1775" r:id="rId1760" tooltip="🔗 Ver Mapa" display="🔗 Ver Mapa" xr:uid="{00000000-0004-0000-0000-0000DF060000}"/>
    <hyperlink ref="L1776" r:id="rId1761" tooltip="🔗 Ver Mapa" display="🔗 Ver Mapa" xr:uid="{00000000-0004-0000-0000-0000E0060000}"/>
    <hyperlink ref="L1777" r:id="rId1762" tooltip="🔗 Ver Mapa" display="🔗 Ver Mapa" xr:uid="{00000000-0004-0000-0000-0000E1060000}"/>
    <hyperlink ref="L1778" r:id="rId1763" tooltip="🔗 Ver Mapa" display="🔗 Ver Mapa" xr:uid="{00000000-0004-0000-0000-0000E2060000}"/>
    <hyperlink ref="L1779" r:id="rId1764" tooltip="🔗 Ver Mapa" display="🔗 Ver Mapa" xr:uid="{00000000-0004-0000-0000-0000E3060000}"/>
    <hyperlink ref="L1780" r:id="rId1765" tooltip="🔗 Ver Mapa" display="🔗 Ver Mapa" xr:uid="{00000000-0004-0000-0000-0000E4060000}"/>
    <hyperlink ref="L1781" r:id="rId1766" tooltip="🔗 Ver Mapa" display="🔗 Ver Mapa" xr:uid="{00000000-0004-0000-0000-0000E5060000}"/>
    <hyperlink ref="L1782" r:id="rId1767" tooltip="🔗 Ver Mapa" display="🔗 Ver Mapa" xr:uid="{00000000-0004-0000-0000-0000E6060000}"/>
    <hyperlink ref="L1783" r:id="rId1768" tooltip="🔗 Ver Mapa" display="🔗 Ver Mapa" xr:uid="{00000000-0004-0000-0000-0000E7060000}"/>
    <hyperlink ref="L1784" r:id="rId1769" tooltip="🔗 Ver Mapa" display="🔗 Ver Mapa" xr:uid="{00000000-0004-0000-0000-0000E8060000}"/>
    <hyperlink ref="L1785" r:id="rId1770" tooltip="🔗 Ver Mapa" display="🔗 Ver Mapa" xr:uid="{00000000-0004-0000-0000-0000E9060000}"/>
    <hyperlink ref="L1786" r:id="rId1771" tooltip="🔗 Ver Mapa" display="🔗 Ver Mapa" xr:uid="{00000000-0004-0000-0000-0000EA060000}"/>
    <hyperlink ref="L1787" r:id="rId1772" tooltip="🔗 Ver Mapa" display="🔗 Ver Mapa" xr:uid="{00000000-0004-0000-0000-0000EB060000}"/>
    <hyperlink ref="L1788" r:id="rId1773" tooltip="🔗 Ver Mapa" display="🔗 Ver Mapa" xr:uid="{00000000-0004-0000-0000-0000EC060000}"/>
    <hyperlink ref="L1789" r:id="rId1774" tooltip="🔗 Ver Mapa" display="🔗 Ver Mapa" xr:uid="{00000000-0004-0000-0000-0000ED060000}"/>
    <hyperlink ref="L1790" r:id="rId1775" tooltip="🔗 Ver Mapa" display="🔗 Ver Mapa" xr:uid="{00000000-0004-0000-0000-0000EE060000}"/>
    <hyperlink ref="L1791" r:id="rId1776" tooltip="🔗 Ver Mapa" display="🔗 Ver Mapa" xr:uid="{00000000-0004-0000-0000-0000EF060000}"/>
    <hyperlink ref="L1792" r:id="rId1777" tooltip="🔗 Ver Mapa" display="🔗 Ver Mapa" xr:uid="{00000000-0004-0000-0000-0000F0060000}"/>
    <hyperlink ref="L1793" r:id="rId1778" tooltip="🔗 Ver Mapa" display="🔗 Ver Mapa" xr:uid="{00000000-0004-0000-0000-0000F1060000}"/>
    <hyperlink ref="L1794" r:id="rId1779" tooltip="🔗 Ver Mapa" display="🔗 Ver Mapa" xr:uid="{00000000-0004-0000-0000-0000F2060000}"/>
    <hyperlink ref="L1795" r:id="rId1780" tooltip="🔗 Ver Mapa" display="🔗 Ver Mapa" xr:uid="{00000000-0004-0000-0000-0000F3060000}"/>
    <hyperlink ref="L1796" r:id="rId1781" tooltip="🔗 Ver Mapa" display="🔗 Ver Mapa" xr:uid="{00000000-0004-0000-0000-0000F4060000}"/>
    <hyperlink ref="L1797" r:id="rId1782" tooltip="🔗 Ver Mapa" display="🔗 Ver Mapa" xr:uid="{00000000-0004-0000-0000-0000F5060000}"/>
    <hyperlink ref="L1798" r:id="rId1783" tooltip="🔗 Ver Mapa" display="🔗 Ver Mapa" xr:uid="{00000000-0004-0000-0000-0000F6060000}"/>
    <hyperlink ref="L1799" r:id="rId1784" tooltip="🔗 Ver Mapa" display="🔗 Ver Mapa" xr:uid="{00000000-0004-0000-0000-0000F7060000}"/>
    <hyperlink ref="L1800" r:id="rId1785" tooltip="🔗 Ver Mapa" display="🔗 Ver Mapa" xr:uid="{00000000-0004-0000-0000-0000F8060000}"/>
    <hyperlink ref="L1801" r:id="rId1786" tooltip="🔗 Ver Mapa" display="🔗 Ver Mapa" xr:uid="{00000000-0004-0000-0000-0000F9060000}"/>
    <hyperlink ref="L1802" r:id="rId1787" tooltip="🔗 Ver Mapa" display="🔗 Ver Mapa" xr:uid="{00000000-0004-0000-0000-0000FA060000}"/>
    <hyperlink ref="L1803" r:id="rId1788" tooltip="🔗 Ver Mapa" display="🔗 Ver Mapa" xr:uid="{00000000-0004-0000-0000-0000FB060000}"/>
    <hyperlink ref="L1804" r:id="rId1789" tooltip="🔗 Ver Mapa" display="🔗 Ver Mapa" xr:uid="{00000000-0004-0000-0000-0000FC060000}"/>
    <hyperlink ref="L1805" r:id="rId1790" tooltip="🔗 Ver Mapa" display="🔗 Ver Mapa" xr:uid="{00000000-0004-0000-0000-0000FD060000}"/>
    <hyperlink ref="L1806" r:id="rId1791" tooltip="🔗 Ver Mapa" display="🔗 Ver Mapa" xr:uid="{00000000-0004-0000-0000-0000FE060000}"/>
    <hyperlink ref="L1807" r:id="rId1792" tooltip="🔗 Ver Mapa" display="🔗 Ver Mapa" xr:uid="{00000000-0004-0000-0000-0000FF060000}"/>
    <hyperlink ref="L1808" r:id="rId1793" tooltip="🔗 Ver Mapa" display="🔗 Ver Mapa" xr:uid="{00000000-0004-0000-0000-000000070000}"/>
    <hyperlink ref="L1809" r:id="rId1794" tooltip="🔗 Ver Mapa" display="🔗 Ver Mapa" xr:uid="{00000000-0004-0000-0000-000001070000}"/>
    <hyperlink ref="L1810" r:id="rId1795" tooltip="🔗 Ver Mapa" display="🔗 Ver Mapa" xr:uid="{00000000-0004-0000-0000-000002070000}"/>
    <hyperlink ref="L1811" r:id="rId1796" tooltip="🔗 Ver Mapa" display="🔗 Ver Mapa" xr:uid="{00000000-0004-0000-0000-000003070000}"/>
    <hyperlink ref="L1812" r:id="rId1797" tooltip="🔗 Ver Mapa" display="🔗 Ver Mapa" xr:uid="{00000000-0004-0000-0000-000004070000}"/>
    <hyperlink ref="L1813" r:id="rId1798" tooltip="🔗 Ver Mapa" display="🔗 Ver Mapa" xr:uid="{00000000-0004-0000-0000-000005070000}"/>
    <hyperlink ref="L1814" r:id="rId1799" tooltip="🔗 Ver Mapa" display="🔗 Ver Mapa" xr:uid="{00000000-0004-0000-0000-000006070000}"/>
    <hyperlink ref="L1815" r:id="rId1800" tooltip="🔗 Ver Mapa" display="🔗 Ver Mapa" xr:uid="{00000000-0004-0000-0000-000007070000}"/>
    <hyperlink ref="L1816" r:id="rId1801" tooltip="🔗 Ver Mapa" display="🔗 Ver Mapa" xr:uid="{00000000-0004-0000-0000-000008070000}"/>
    <hyperlink ref="L1817" r:id="rId1802" tooltip="🔗 Ver Mapa" display="🔗 Ver Mapa" xr:uid="{00000000-0004-0000-0000-000009070000}"/>
    <hyperlink ref="L1818" r:id="rId1803" tooltip="🔗 Ver Mapa" display="🔗 Ver Mapa" xr:uid="{00000000-0004-0000-0000-00000A070000}"/>
    <hyperlink ref="L1819" r:id="rId1804" tooltip="🔗 Ver Mapa" display="🔗 Ver Mapa" xr:uid="{00000000-0004-0000-0000-00000B070000}"/>
    <hyperlink ref="L1820" r:id="rId1805" tooltip="🔗 Ver Mapa" display="🔗 Ver Mapa" xr:uid="{00000000-0004-0000-0000-00000C070000}"/>
    <hyperlink ref="L1821" r:id="rId1806" tooltip="🔗 Ver Mapa" display="🔗 Ver Mapa" xr:uid="{00000000-0004-0000-0000-00000D070000}"/>
    <hyperlink ref="L1822" r:id="rId1807" tooltip="🔗 Ver Mapa" display="🔗 Ver Mapa" xr:uid="{00000000-0004-0000-0000-00000E070000}"/>
    <hyperlink ref="L1823" r:id="rId1808" tooltip="🔗 Ver Mapa" display="🔗 Ver Mapa" xr:uid="{00000000-0004-0000-0000-00000F070000}"/>
    <hyperlink ref="L1824" r:id="rId1809" tooltip="🔗 Ver Mapa" display="🔗 Ver Mapa" xr:uid="{00000000-0004-0000-0000-000010070000}"/>
    <hyperlink ref="L1825" r:id="rId1810" tooltip="🔗 Ver Mapa" display="🔗 Ver Mapa" xr:uid="{00000000-0004-0000-0000-000011070000}"/>
    <hyperlink ref="L1826" r:id="rId1811" tooltip="🔗 Ver Mapa" display="🔗 Ver Mapa" xr:uid="{00000000-0004-0000-0000-000012070000}"/>
    <hyperlink ref="L1827" r:id="rId1812" tooltip="🔗 Ver Mapa" display="🔗 Ver Mapa" xr:uid="{00000000-0004-0000-0000-000013070000}"/>
    <hyperlink ref="L1828" r:id="rId1813" tooltip="🔗 Ver Mapa" display="🔗 Ver Mapa" xr:uid="{00000000-0004-0000-0000-000014070000}"/>
    <hyperlink ref="L1829" r:id="rId1814" tooltip="🔗 Ver Mapa" display="🔗 Ver Mapa" xr:uid="{00000000-0004-0000-0000-000015070000}"/>
    <hyperlink ref="L1830" r:id="rId1815" tooltip="🔗 Ver Mapa" display="🔗 Ver Mapa" xr:uid="{00000000-0004-0000-0000-000016070000}"/>
    <hyperlink ref="L1831" r:id="rId1816" tooltip="🔗 Ver Mapa" display="🔗 Ver Mapa" xr:uid="{00000000-0004-0000-0000-000017070000}"/>
    <hyperlink ref="L1832" r:id="rId1817" tooltip="🔗 Ver Mapa" display="🔗 Ver Mapa" xr:uid="{00000000-0004-0000-0000-000018070000}"/>
    <hyperlink ref="L1833" r:id="rId1818" tooltip="🔗 Ver Mapa" display="🔗 Ver Mapa" xr:uid="{00000000-0004-0000-0000-000019070000}"/>
    <hyperlink ref="L1834" r:id="rId1819" tooltip="🔗 Ver Mapa" display="🔗 Ver Mapa" xr:uid="{00000000-0004-0000-0000-00001A070000}"/>
    <hyperlink ref="L1835" r:id="rId1820" tooltip="🔗 Ver Mapa" display="🔗 Ver Mapa" xr:uid="{00000000-0004-0000-0000-00001B070000}"/>
    <hyperlink ref="L1836" r:id="rId1821" tooltip="🔗 Ver Mapa" display="🔗 Ver Mapa" xr:uid="{00000000-0004-0000-0000-00001C070000}"/>
    <hyperlink ref="L1837" r:id="rId1822" tooltip="🔗 Ver Mapa" display="🔗 Ver Mapa" xr:uid="{00000000-0004-0000-0000-00001D070000}"/>
    <hyperlink ref="L1838" r:id="rId1823" tooltip="🔗 Ver Mapa" display="🔗 Ver Mapa" xr:uid="{00000000-0004-0000-0000-00001E070000}"/>
    <hyperlink ref="L1839" r:id="rId1824" tooltip="🔗 Ver Mapa" display="🔗 Ver Mapa" xr:uid="{00000000-0004-0000-0000-00001F070000}"/>
    <hyperlink ref="L1840" r:id="rId1825" tooltip="🔗 Ver Mapa" display="🔗 Ver Mapa" xr:uid="{00000000-0004-0000-0000-000020070000}"/>
    <hyperlink ref="L1841" r:id="rId1826" tooltip="🔗 Ver Mapa" display="🔗 Ver Mapa" xr:uid="{00000000-0004-0000-0000-000021070000}"/>
    <hyperlink ref="L1842" r:id="rId1827" tooltip="🔗 Ver Mapa" display="🔗 Ver Mapa" xr:uid="{00000000-0004-0000-0000-000022070000}"/>
    <hyperlink ref="L1843" r:id="rId1828" tooltip="🔗 Ver Mapa" display="🔗 Ver Mapa" xr:uid="{00000000-0004-0000-0000-000023070000}"/>
    <hyperlink ref="L1844" r:id="rId1829" tooltip="🔗 Ver Mapa" display="🔗 Ver Mapa" xr:uid="{00000000-0004-0000-0000-000024070000}"/>
    <hyperlink ref="L1845" r:id="rId1830" tooltip="🔗 Ver Mapa" display="🔗 Ver Mapa" xr:uid="{00000000-0004-0000-0000-000025070000}"/>
    <hyperlink ref="L1846" r:id="rId1831" tooltip="🔗 Ver Mapa" display="🔗 Ver Mapa" xr:uid="{00000000-0004-0000-0000-000026070000}"/>
    <hyperlink ref="L1847" r:id="rId1832" tooltip="🔗 Ver Mapa" display="🔗 Ver Mapa" xr:uid="{00000000-0004-0000-0000-000027070000}"/>
    <hyperlink ref="L1848" r:id="rId1833" tooltip="🔗 Ver Mapa" display="🔗 Ver Mapa" xr:uid="{00000000-0004-0000-0000-000028070000}"/>
    <hyperlink ref="L1849" r:id="rId1834" tooltip="🔗 Ver Mapa" display="🔗 Ver Mapa" xr:uid="{00000000-0004-0000-0000-000029070000}"/>
    <hyperlink ref="L1850" r:id="rId1835" tooltip="🔗 Ver Mapa" display="🔗 Ver Mapa" xr:uid="{00000000-0004-0000-0000-00002A070000}"/>
    <hyperlink ref="L1851" r:id="rId1836" tooltip="🔗 Ver Mapa" display="🔗 Ver Mapa" xr:uid="{00000000-0004-0000-0000-00002B070000}"/>
    <hyperlink ref="L1852" r:id="rId1837" tooltip="🔗 Ver Mapa" display="🔗 Ver Mapa" xr:uid="{00000000-0004-0000-0000-00002C070000}"/>
    <hyperlink ref="L1853" r:id="rId1838" tooltip="🔗 Ver Mapa" display="🔗 Ver Mapa" xr:uid="{00000000-0004-0000-0000-00002D070000}"/>
    <hyperlink ref="L1854" r:id="rId1839" tooltip="🔗 Ver Mapa" display="🔗 Ver Mapa" xr:uid="{00000000-0004-0000-0000-00002E070000}"/>
    <hyperlink ref="L1855" r:id="rId1840" tooltip="🔗 Ver Mapa" display="🔗 Ver Mapa" xr:uid="{00000000-0004-0000-0000-00002F070000}"/>
    <hyperlink ref="L1856" r:id="rId1841" tooltip="🔗 Ver Mapa" display="🔗 Ver Mapa" xr:uid="{00000000-0004-0000-0000-000030070000}"/>
    <hyperlink ref="L1857" r:id="rId1842" tooltip="🔗 Ver Mapa" display="🔗 Ver Mapa" xr:uid="{00000000-0004-0000-0000-000031070000}"/>
    <hyperlink ref="L1858" r:id="rId1843" tooltip="🔗 Ver Mapa" display="🔗 Ver Mapa" xr:uid="{00000000-0004-0000-0000-000032070000}"/>
    <hyperlink ref="L1859" r:id="rId1844" tooltip="🔗 Ver Mapa" display="🔗 Ver Mapa" xr:uid="{00000000-0004-0000-0000-000033070000}"/>
    <hyperlink ref="L1860" r:id="rId1845" tooltip="🔗 Ver Mapa" display="🔗 Ver Mapa" xr:uid="{00000000-0004-0000-0000-000034070000}"/>
    <hyperlink ref="L1861" r:id="rId1846" tooltip="🔗 Ver Mapa" display="🔗 Ver Mapa" xr:uid="{00000000-0004-0000-0000-000035070000}"/>
    <hyperlink ref="L1862" r:id="rId1847" tooltip="🔗 Ver Mapa" display="🔗 Ver Mapa" xr:uid="{00000000-0004-0000-0000-000036070000}"/>
    <hyperlink ref="L1863" r:id="rId1848" tooltip="🔗 Ver Mapa" display="🔗 Ver Mapa" xr:uid="{00000000-0004-0000-0000-000037070000}"/>
    <hyperlink ref="L1864" r:id="rId1849" tooltip="🔗 Ver Mapa" display="🔗 Ver Mapa" xr:uid="{00000000-0004-0000-0000-000038070000}"/>
    <hyperlink ref="L1865" r:id="rId1850" tooltip="🔗 Ver Mapa" display="🔗 Ver Mapa" xr:uid="{00000000-0004-0000-0000-000039070000}"/>
    <hyperlink ref="L1866" r:id="rId1851" tooltip="🔗 Ver Mapa" display="🔗 Ver Mapa" xr:uid="{00000000-0004-0000-0000-00003A070000}"/>
    <hyperlink ref="L1867" r:id="rId1852" tooltip="🔗 Ver Mapa" display="🔗 Ver Mapa" xr:uid="{00000000-0004-0000-0000-00003B070000}"/>
    <hyperlink ref="L1868" r:id="rId1853" tooltip="🔗 Ver Mapa" display="🔗 Ver Mapa" xr:uid="{00000000-0004-0000-0000-00003C070000}"/>
    <hyperlink ref="L1869" r:id="rId1854" tooltip="🔗 Ver Mapa" display="🔗 Ver Mapa" xr:uid="{00000000-0004-0000-0000-00003D070000}"/>
    <hyperlink ref="L1870" r:id="rId1855" tooltip="🔗 Ver Mapa" display="🔗 Ver Mapa" xr:uid="{00000000-0004-0000-0000-00003E070000}"/>
    <hyperlink ref="L1871" r:id="rId1856" tooltip="🔗 Ver Mapa" display="🔗 Ver Mapa" xr:uid="{00000000-0004-0000-0000-00003F070000}"/>
    <hyperlink ref="L1872" r:id="rId1857" tooltip="🔗 Ver Mapa" display="🔗 Ver Mapa" xr:uid="{00000000-0004-0000-0000-000040070000}"/>
    <hyperlink ref="L1873" r:id="rId1858" tooltip="🔗 Ver Mapa" display="🔗 Ver Mapa" xr:uid="{00000000-0004-0000-0000-000041070000}"/>
    <hyperlink ref="L1874" r:id="rId1859" tooltip="🔗 Ver Mapa" display="🔗 Ver Mapa" xr:uid="{00000000-0004-0000-0000-000042070000}"/>
    <hyperlink ref="L1875" r:id="rId1860" tooltip="🔗 Ver Mapa" display="🔗 Ver Mapa" xr:uid="{00000000-0004-0000-0000-000043070000}"/>
    <hyperlink ref="L1876" r:id="rId1861" tooltip="🔗 Ver Mapa" display="🔗 Ver Mapa" xr:uid="{00000000-0004-0000-0000-000044070000}"/>
    <hyperlink ref="L1877" r:id="rId1862" tooltip="🔗 Ver Mapa" display="🔗 Ver Mapa" xr:uid="{00000000-0004-0000-0000-000045070000}"/>
    <hyperlink ref="L1878" r:id="rId1863" tooltip="🔗 Ver Mapa" display="🔗 Ver Mapa" xr:uid="{00000000-0004-0000-0000-000046070000}"/>
    <hyperlink ref="L1879" r:id="rId1864" tooltip="🔗 Ver Mapa" display="🔗 Ver Mapa" xr:uid="{00000000-0004-0000-0000-000047070000}"/>
    <hyperlink ref="L1880" r:id="rId1865" tooltip="🔗 Ver Mapa" display="🔗 Ver Mapa" xr:uid="{00000000-0004-0000-0000-000048070000}"/>
    <hyperlink ref="L1881" r:id="rId1866" tooltip="🔗 Ver Mapa" display="🔗 Ver Mapa" xr:uid="{00000000-0004-0000-0000-000049070000}"/>
    <hyperlink ref="L1882" r:id="rId1867" tooltip="🔗 Ver Mapa" display="🔗 Ver Mapa" xr:uid="{00000000-0004-0000-0000-00004A070000}"/>
    <hyperlink ref="L1883" r:id="rId1868" tooltip="🔗 Ver Mapa" display="🔗 Ver Mapa" xr:uid="{00000000-0004-0000-0000-00004B070000}"/>
    <hyperlink ref="L1884" r:id="rId1869" tooltip="🔗 Ver Mapa" display="🔗 Ver Mapa" xr:uid="{00000000-0004-0000-0000-00004C070000}"/>
    <hyperlink ref="L1885" r:id="rId1870" tooltip="🔗 Ver Mapa" display="🔗 Ver Mapa" xr:uid="{00000000-0004-0000-0000-00004D070000}"/>
    <hyperlink ref="L1886" r:id="rId1871" tooltip="🔗 Ver Mapa" display="🔗 Ver Mapa" xr:uid="{00000000-0004-0000-0000-00004E070000}"/>
    <hyperlink ref="L1887" r:id="rId1872" tooltip="🔗 Ver Mapa" display="🔗 Ver Mapa" xr:uid="{00000000-0004-0000-0000-00004F070000}"/>
    <hyperlink ref="L1888" r:id="rId1873" tooltip="🔗 Ver Mapa" display="🔗 Ver Mapa" xr:uid="{00000000-0004-0000-0000-000050070000}"/>
    <hyperlink ref="L1889" r:id="rId1874" tooltip="🔗 Ver Mapa" display="🔗 Ver Mapa" xr:uid="{00000000-0004-0000-0000-000051070000}"/>
    <hyperlink ref="L1890" r:id="rId1875" tooltip="🔗 Ver Mapa" display="🔗 Ver Mapa" xr:uid="{00000000-0004-0000-0000-000052070000}"/>
    <hyperlink ref="L1891" r:id="rId1876" tooltip="🔗 Ver Mapa" display="🔗 Ver Mapa" xr:uid="{00000000-0004-0000-0000-000053070000}"/>
    <hyperlink ref="L1892" r:id="rId1877" tooltip="🔗 Ver Mapa" display="🔗 Ver Mapa" xr:uid="{00000000-0004-0000-0000-000054070000}"/>
    <hyperlink ref="L1893" r:id="rId1878" tooltip="🔗 Ver Mapa" display="🔗 Ver Mapa" xr:uid="{00000000-0004-0000-0000-000055070000}"/>
    <hyperlink ref="L1894" r:id="rId1879" tooltip="🔗 Ver Mapa" display="🔗 Ver Mapa" xr:uid="{00000000-0004-0000-0000-000056070000}"/>
    <hyperlink ref="L1895" r:id="rId1880" tooltip="🔗 Ver Mapa" display="🔗 Ver Mapa" xr:uid="{00000000-0004-0000-0000-000057070000}"/>
    <hyperlink ref="L1896" r:id="rId1881" tooltip="🔗 Ver Mapa" display="🔗 Ver Mapa" xr:uid="{00000000-0004-0000-0000-000058070000}"/>
    <hyperlink ref="L1897" r:id="rId1882" tooltip="🔗 Ver Mapa" display="🔗 Ver Mapa" xr:uid="{00000000-0004-0000-0000-000059070000}"/>
    <hyperlink ref="L1898" r:id="rId1883" tooltip="🔗 Ver Mapa" display="🔗 Ver Mapa" xr:uid="{00000000-0004-0000-0000-00005A070000}"/>
    <hyperlink ref="L1899" r:id="rId1884" tooltip="🔗 Ver Mapa" display="🔗 Ver Mapa" xr:uid="{00000000-0004-0000-0000-00005B070000}"/>
    <hyperlink ref="L1900" r:id="rId1885" tooltip="🔗 Ver Mapa" display="🔗 Ver Mapa" xr:uid="{00000000-0004-0000-0000-00005C070000}"/>
    <hyperlink ref="L1901" r:id="rId1886" tooltip="🔗 Ver Mapa" display="🔗 Ver Mapa" xr:uid="{00000000-0004-0000-0000-00005D070000}"/>
    <hyperlink ref="L1902" r:id="rId1887" tooltip="🔗 Ver Mapa" display="🔗 Ver Mapa" xr:uid="{00000000-0004-0000-0000-00005E070000}"/>
    <hyperlink ref="L1903" r:id="rId1888" tooltip="🔗 Ver Mapa" display="🔗 Ver Mapa" xr:uid="{00000000-0004-0000-0000-00005F070000}"/>
    <hyperlink ref="L1904" r:id="rId1889" tooltip="🔗 Ver Mapa" display="🔗 Ver Mapa" xr:uid="{00000000-0004-0000-0000-000060070000}"/>
    <hyperlink ref="L1905" r:id="rId1890" tooltip="🔗 Ver Mapa" display="🔗 Ver Mapa" xr:uid="{00000000-0004-0000-0000-000061070000}"/>
    <hyperlink ref="L1906" r:id="rId1891" tooltip="🔗 Ver Mapa" display="🔗 Ver Mapa" xr:uid="{00000000-0004-0000-0000-000062070000}"/>
    <hyperlink ref="L1907" r:id="rId1892" tooltip="🔗 Ver Mapa" display="🔗 Ver Mapa" xr:uid="{00000000-0004-0000-0000-000063070000}"/>
    <hyperlink ref="L1908" r:id="rId1893" tooltip="🔗 Ver Mapa" display="🔗 Ver Mapa" xr:uid="{00000000-0004-0000-0000-000064070000}"/>
    <hyperlink ref="L1909" r:id="rId1894" tooltip="🔗 Ver Mapa" display="🔗 Ver Mapa" xr:uid="{00000000-0004-0000-0000-000065070000}"/>
    <hyperlink ref="L1910" r:id="rId1895" tooltip="🔗 Ver Mapa" display="🔗 Ver Mapa" xr:uid="{00000000-0004-0000-0000-000066070000}"/>
    <hyperlink ref="L1911" r:id="rId1896" tooltip="🔗 Ver Mapa" display="🔗 Ver Mapa" xr:uid="{00000000-0004-0000-0000-000067070000}"/>
    <hyperlink ref="L1912" r:id="rId1897" tooltip="🔗 Ver Mapa" display="🔗 Ver Mapa" xr:uid="{00000000-0004-0000-0000-000068070000}"/>
    <hyperlink ref="L1913" r:id="rId1898" tooltip="🔗 Ver Mapa" display="🔗 Ver Mapa" xr:uid="{00000000-0004-0000-0000-000069070000}"/>
    <hyperlink ref="L1914" r:id="rId1899" tooltip="🔗 Ver Mapa" display="🔗 Ver Mapa" xr:uid="{00000000-0004-0000-0000-00006A070000}"/>
    <hyperlink ref="L1915" r:id="rId1900" tooltip="🔗 Ver Mapa" display="🔗 Ver Mapa" xr:uid="{00000000-0004-0000-0000-00006B070000}"/>
    <hyperlink ref="L1916" r:id="rId1901" tooltip="🔗 Ver Mapa" display="🔗 Ver Mapa" xr:uid="{00000000-0004-0000-0000-00006C070000}"/>
    <hyperlink ref="L1917" r:id="rId1902" tooltip="🔗 Ver Mapa" display="🔗 Ver Mapa" xr:uid="{00000000-0004-0000-0000-00006D070000}"/>
    <hyperlink ref="L1918" r:id="rId1903" tooltip="🔗 Ver Mapa" display="🔗 Ver Mapa" xr:uid="{00000000-0004-0000-0000-00006E070000}"/>
    <hyperlink ref="L1919" r:id="rId1904" tooltip="🔗 Ver Mapa" display="🔗 Ver Mapa" xr:uid="{00000000-0004-0000-0000-00006F070000}"/>
    <hyperlink ref="L1920" r:id="rId1905" tooltip="🔗 Ver Mapa" display="🔗 Ver Mapa" xr:uid="{00000000-0004-0000-0000-000070070000}"/>
    <hyperlink ref="L1921" r:id="rId1906" tooltip="🔗 Ver Mapa" display="🔗 Ver Mapa" xr:uid="{00000000-0004-0000-0000-000071070000}"/>
    <hyperlink ref="L1922" r:id="rId1907" tooltip="🔗 Ver Mapa" display="🔗 Ver Mapa" xr:uid="{00000000-0004-0000-0000-000072070000}"/>
    <hyperlink ref="L1923" r:id="rId1908" tooltip="🔗 Ver Mapa" display="🔗 Ver Mapa" xr:uid="{00000000-0004-0000-0000-000073070000}"/>
    <hyperlink ref="L1924" r:id="rId1909" tooltip="🔗 Ver Mapa" display="🔗 Ver Mapa" xr:uid="{00000000-0004-0000-0000-000074070000}"/>
    <hyperlink ref="L1925" r:id="rId1910" tooltip="🔗 Ver Mapa" display="🔗 Ver Mapa" xr:uid="{00000000-0004-0000-0000-000075070000}"/>
    <hyperlink ref="L1926" r:id="rId1911" tooltip="🔗 Ver Mapa" display="🔗 Ver Mapa" xr:uid="{00000000-0004-0000-0000-000076070000}"/>
    <hyperlink ref="L1927" r:id="rId1912" tooltip="🔗 Ver Mapa" display="🔗 Ver Mapa" xr:uid="{00000000-0004-0000-0000-000077070000}"/>
    <hyperlink ref="L1928" r:id="rId1913" tooltip="🔗 Ver Mapa" display="🔗 Ver Mapa" xr:uid="{00000000-0004-0000-0000-000078070000}"/>
    <hyperlink ref="L1929" r:id="rId1914" tooltip="🔗 Ver Mapa" display="🔗 Ver Mapa" xr:uid="{00000000-0004-0000-0000-000079070000}"/>
    <hyperlink ref="L1930" r:id="rId1915" tooltip="🔗 Ver Mapa" display="🔗 Ver Mapa" xr:uid="{00000000-0004-0000-0000-00007A070000}"/>
    <hyperlink ref="L1931" r:id="rId1916" tooltip="🔗 Ver Mapa" display="🔗 Ver Mapa" xr:uid="{00000000-0004-0000-0000-00007B070000}"/>
    <hyperlink ref="L1932" r:id="rId1917" tooltip="🔗 Ver Mapa" display="🔗 Ver Mapa" xr:uid="{00000000-0004-0000-0000-00007C070000}"/>
    <hyperlink ref="L1933" r:id="rId1918" tooltip="🔗 Ver Mapa" display="🔗 Ver Mapa" xr:uid="{00000000-0004-0000-0000-00007D070000}"/>
    <hyperlink ref="L1934" r:id="rId1919" tooltip="🔗 Ver Mapa" display="🔗 Ver Mapa" xr:uid="{00000000-0004-0000-0000-00007E070000}"/>
    <hyperlink ref="L1935" r:id="rId1920" tooltip="🔗 Ver Mapa" display="🔗 Ver Mapa" xr:uid="{00000000-0004-0000-0000-00007F070000}"/>
    <hyperlink ref="L1936" r:id="rId1921" tooltip="🔗 Ver Mapa" display="🔗 Ver Mapa" xr:uid="{00000000-0004-0000-0000-000080070000}"/>
    <hyperlink ref="L1937" r:id="rId1922" tooltip="🔗 Ver Mapa" display="🔗 Ver Mapa" xr:uid="{00000000-0004-0000-0000-000081070000}"/>
    <hyperlink ref="L1938" r:id="rId1923" tooltip="🔗 Ver Mapa" display="🔗 Ver Mapa" xr:uid="{00000000-0004-0000-0000-000082070000}"/>
    <hyperlink ref="L1939" r:id="rId1924" tooltip="🔗 Ver Mapa" display="🔗 Ver Mapa" xr:uid="{00000000-0004-0000-0000-000083070000}"/>
    <hyperlink ref="L1940" r:id="rId1925" tooltip="🔗 Ver Mapa" display="🔗 Ver Mapa" xr:uid="{00000000-0004-0000-0000-000084070000}"/>
    <hyperlink ref="L1941" r:id="rId1926" tooltip="🔗 Ver Mapa" display="🔗 Ver Mapa" xr:uid="{00000000-0004-0000-0000-000085070000}"/>
    <hyperlink ref="L1942" r:id="rId1927" tooltip="🔗 Ver Mapa" display="🔗 Ver Mapa" xr:uid="{00000000-0004-0000-0000-000086070000}"/>
    <hyperlink ref="L1943" r:id="rId1928" tooltip="🔗 Ver Mapa" display="🔗 Ver Mapa" xr:uid="{00000000-0004-0000-0000-000087070000}"/>
    <hyperlink ref="L1944" r:id="rId1929" tooltip="🔗 Ver Mapa" display="🔗 Ver Mapa" xr:uid="{00000000-0004-0000-0000-000088070000}"/>
    <hyperlink ref="L1945" r:id="rId1930" tooltip="🔗 Ver Mapa" display="🔗 Ver Mapa" xr:uid="{00000000-0004-0000-0000-000089070000}"/>
    <hyperlink ref="L1946" r:id="rId1931" tooltip="🔗 Ver Mapa" display="🔗 Ver Mapa" xr:uid="{00000000-0004-0000-0000-00008A070000}"/>
    <hyperlink ref="L1947" r:id="rId1932" tooltip="🔗 Ver Mapa" display="🔗 Ver Mapa" xr:uid="{00000000-0004-0000-0000-00008B070000}"/>
    <hyperlink ref="L1948" r:id="rId1933" tooltip="🔗 Ver Mapa" display="🔗 Ver Mapa" xr:uid="{00000000-0004-0000-0000-00008C070000}"/>
    <hyperlink ref="L1949" r:id="rId1934" tooltip="🔗 Ver Mapa" display="🔗 Ver Mapa" xr:uid="{00000000-0004-0000-0000-00008D070000}"/>
    <hyperlink ref="L1950" r:id="rId1935" tooltip="🔗 Ver Mapa" display="🔗 Ver Mapa" xr:uid="{00000000-0004-0000-0000-00008E070000}"/>
    <hyperlink ref="L1951" r:id="rId1936" tooltip="🔗 Ver Mapa" display="🔗 Ver Mapa" xr:uid="{00000000-0004-0000-0000-00008F070000}"/>
    <hyperlink ref="L1952" r:id="rId1937" tooltip="🔗 Ver Mapa" display="🔗 Ver Mapa" xr:uid="{00000000-0004-0000-0000-000090070000}"/>
    <hyperlink ref="L1953" r:id="rId1938" tooltip="🔗 Ver Mapa" display="🔗 Ver Mapa" xr:uid="{00000000-0004-0000-0000-000091070000}"/>
    <hyperlink ref="L1954" r:id="rId1939" tooltip="🔗 Ver Mapa" display="🔗 Ver Mapa" xr:uid="{00000000-0004-0000-0000-000092070000}"/>
    <hyperlink ref="L1955" r:id="rId1940" tooltip="🔗 Ver Mapa" display="🔗 Ver Mapa" xr:uid="{00000000-0004-0000-0000-000093070000}"/>
    <hyperlink ref="L1956" r:id="rId1941" tooltip="🔗 Ver Mapa" display="🔗 Ver Mapa" xr:uid="{00000000-0004-0000-0000-000094070000}"/>
    <hyperlink ref="L1957" r:id="rId1942" tooltip="🔗 Ver Mapa" display="🔗 Ver Mapa" xr:uid="{00000000-0004-0000-0000-000095070000}"/>
    <hyperlink ref="L1958" r:id="rId1943" tooltip="🔗 Ver Mapa" display="🔗 Ver Mapa" xr:uid="{00000000-0004-0000-0000-000096070000}"/>
    <hyperlink ref="L1959" r:id="rId1944" tooltip="🔗 Ver Mapa" display="🔗 Ver Mapa" xr:uid="{00000000-0004-0000-0000-000097070000}"/>
    <hyperlink ref="L1960" r:id="rId1945" tooltip="🔗 Ver Mapa" display="🔗 Ver Mapa" xr:uid="{00000000-0004-0000-0000-000098070000}"/>
    <hyperlink ref="L1961" r:id="rId1946" tooltip="🔗 Ver Mapa" display="🔗 Ver Mapa" xr:uid="{00000000-0004-0000-0000-000099070000}"/>
    <hyperlink ref="L1962" r:id="rId1947" tooltip="🔗 Ver Mapa" display="🔗 Ver Mapa" xr:uid="{00000000-0004-0000-0000-00009A070000}"/>
    <hyperlink ref="L1963" r:id="rId1948" tooltip="🔗 Ver Mapa" display="🔗 Ver Mapa" xr:uid="{00000000-0004-0000-0000-00009B070000}"/>
    <hyperlink ref="L1964" r:id="rId1949" tooltip="🔗 Ver Mapa" display="🔗 Ver Mapa" xr:uid="{00000000-0004-0000-0000-00009C070000}"/>
    <hyperlink ref="L1965" r:id="rId1950" tooltip="🔗 Ver Mapa" display="🔗 Ver Mapa" xr:uid="{00000000-0004-0000-0000-00009D070000}"/>
    <hyperlink ref="L1966" r:id="rId1951" tooltip="🔗 Ver Mapa" display="🔗 Ver Mapa" xr:uid="{00000000-0004-0000-0000-00009E070000}"/>
    <hyperlink ref="L1967" r:id="rId1952" tooltip="🔗 Ver Mapa" display="🔗 Ver Mapa" xr:uid="{00000000-0004-0000-0000-00009F070000}"/>
    <hyperlink ref="L1968" r:id="rId1953" tooltip="🔗 Ver Mapa" display="🔗 Ver Mapa" xr:uid="{00000000-0004-0000-0000-0000A0070000}"/>
    <hyperlink ref="L1969" r:id="rId1954" tooltip="🔗 Ver Mapa" display="🔗 Ver Mapa" xr:uid="{00000000-0004-0000-0000-0000A1070000}"/>
    <hyperlink ref="L1970" r:id="rId1955" tooltip="🔗 Ver Mapa" display="🔗 Ver Mapa" xr:uid="{00000000-0004-0000-0000-0000A2070000}"/>
    <hyperlink ref="L1971" r:id="rId1956" tooltip="🔗 Ver Mapa" display="🔗 Ver Mapa" xr:uid="{00000000-0004-0000-0000-0000A3070000}"/>
    <hyperlink ref="L1972" r:id="rId1957" tooltip="🔗 Ver Mapa" display="🔗 Ver Mapa" xr:uid="{00000000-0004-0000-0000-0000A4070000}"/>
    <hyperlink ref="L1973" r:id="rId1958" tooltip="🔗 Ver Mapa" display="🔗 Ver Mapa" xr:uid="{00000000-0004-0000-0000-0000A5070000}"/>
    <hyperlink ref="L1974" r:id="rId1959" tooltip="🔗 Ver Mapa" display="🔗 Ver Mapa" xr:uid="{00000000-0004-0000-0000-0000A6070000}"/>
    <hyperlink ref="L1975" r:id="rId1960" tooltip="🔗 Ver Mapa" display="🔗 Ver Mapa" xr:uid="{00000000-0004-0000-0000-0000A7070000}"/>
    <hyperlink ref="L1976" r:id="rId1961" tooltip="🔗 Ver Mapa" display="🔗 Ver Mapa" xr:uid="{00000000-0004-0000-0000-0000A8070000}"/>
    <hyperlink ref="L1977" r:id="rId1962" tooltip="🔗 Ver Mapa" display="🔗 Ver Mapa" xr:uid="{00000000-0004-0000-0000-0000A9070000}"/>
    <hyperlink ref="L1978" r:id="rId1963" tooltip="🔗 Ver Mapa" display="🔗 Ver Mapa" xr:uid="{00000000-0004-0000-0000-0000AA070000}"/>
    <hyperlink ref="L1979" r:id="rId1964" tooltip="🔗 Ver Mapa" display="🔗 Ver Mapa" xr:uid="{00000000-0004-0000-0000-0000AB070000}"/>
    <hyperlink ref="L1980" r:id="rId1965" tooltip="🔗 Ver Mapa" display="🔗 Ver Mapa" xr:uid="{00000000-0004-0000-0000-0000AC070000}"/>
    <hyperlink ref="L1981" r:id="rId1966" tooltip="🔗 Ver Mapa" display="🔗 Ver Mapa" xr:uid="{00000000-0004-0000-0000-0000AD070000}"/>
    <hyperlink ref="L1982" r:id="rId1967" tooltip="🔗 Ver Mapa" display="🔗 Ver Mapa" xr:uid="{00000000-0004-0000-0000-0000AE070000}"/>
    <hyperlink ref="L1983" r:id="rId1968" tooltip="🔗 Ver Mapa" display="🔗 Ver Mapa" xr:uid="{00000000-0004-0000-0000-0000AF070000}"/>
    <hyperlink ref="L1984" r:id="rId1969" tooltip="🔗 Ver Mapa" display="🔗 Ver Mapa" xr:uid="{00000000-0004-0000-0000-0000B0070000}"/>
    <hyperlink ref="L1985" r:id="rId1970" tooltip="🔗 Ver Mapa" display="🔗 Ver Mapa" xr:uid="{00000000-0004-0000-0000-0000B1070000}"/>
    <hyperlink ref="L1986" r:id="rId1971" tooltip="🔗 Ver Mapa" display="🔗 Ver Mapa" xr:uid="{00000000-0004-0000-0000-0000B2070000}"/>
    <hyperlink ref="L1987" r:id="rId1972" tooltip="🔗 Ver Mapa" display="🔗 Ver Mapa" xr:uid="{00000000-0004-0000-0000-0000B3070000}"/>
    <hyperlink ref="L1988" r:id="rId1973" tooltip="🔗 Ver Mapa" display="🔗 Ver Mapa" xr:uid="{00000000-0004-0000-0000-0000B4070000}"/>
    <hyperlink ref="L1989" r:id="rId1974" tooltip="🔗 Ver Mapa" display="🔗 Ver Mapa" xr:uid="{00000000-0004-0000-0000-0000B5070000}"/>
    <hyperlink ref="L1990" r:id="rId1975" tooltip="🔗 Ver Mapa" display="🔗 Ver Mapa" xr:uid="{00000000-0004-0000-0000-0000B6070000}"/>
    <hyperlink ref="L1991" r:id="rId1976" tooltip="🔗 Ver Mapa" display="🔗 Ver Mapa" xr:uid="{00000000-0004-0000-0000-0000B7070000}"/>
    <hyperlink ref="L1992" r:id="rId1977" tooltip="🔗 Ver Mapa" display="🔗 Ver Mapa" xr:uid="{00000000-0004-0000-0000-0000B8070000}"/>
    <hyperlink ref="L1993" r:id="rId1978" tooltip="🔗 Ver Mapa" display="🔗 Ver Mapa" xr:uid="{00000000-0004-0000-0000-0000B9070000}"/>
    <hyperlink ref="L1994" r:id="rId1979" tooltip="🔗 Ver Mapa" display="🔗 Ver Mapa" xr:uid="{00000000-0004-0000-0000-0000BA070000}"/>
    <hyperlink ref="L1995" r:id="rId1980" tooltip="🔗 Ver Mapa" display="🔗 Ver Mapa" xr:uid="{00000000-0004-0000-0000-0000BB070000}"/>
    <hyperlink ref="L1996" r:id="rId1981" tooltip="🔗 Ver Mapa" display="🔗 Ver Mapa" xr:uid="{00000000-0004-0000-0000-0000BC070000}"/>
    <hyperlink ref="L1997" r:id="rId1982" tooltip="🔗 Ver Mapa" display="🔗 Ver Mapa" xr:uid="{00000000-0004-0000-0000-0000BD070000}"/>
    <hyperlink ref="L1998" r:id="rId1983" tooltip="🔗 Ver Mapa" display="🔗 Ver Mapa" xr:uid="{00000000-0004-0000-0000-0000BE070000}"/>
    <hyperlink ref="L1999" r:id="rId1984" tooltip="🔗 Ver Mapa" display="🔗 Ver Mapa" xr:uid="{00000000-0004-0000-0000-0000BF070000}"/>
    <hyperlink ref="L2000" r:id="rId1985" tooltip="🔗 Ver Mapa" display="🔗 Ver Mapa" xr:uid="{00000000-0004-0000-0000-0000C0070000}"/>
    <hyperlink ref="L2001" r:id="rId1986" tooltip="🔗 Ver Mapa" display="🔗 Ver Mapa" xr:uid="{00000000-0004-0000-0000-0000C1070000}"/>
    <hyperlink ref="L2002" r:id="rId1987" tooltip="🔗 Ver Mapa" display="🔗 Ver Mapa" xr:uid="{00000000-0004-0000-0000-0000C2070000}"/>
    <hyperlink ref="L2003" r:id="rId1988" tooltip="🔗 Ver Mapa" display="🔗 Ver Mapa" xr:uid="{00000000-0004-0000-0000-0000C3070000}"/>
    <hyperlink ref="L2004" r:id="rId1989" tooltip="🔗 Ver Mapa" display="🔗 Ver Mapa" xr:uid="{00000000-0004-0000-0000-0000C4070000}"/>
    <hyperlink ref="L2005" r:id="rId1990" tooltip="🔗 Ver Mapa" display="🔗 Ver Mapa" xr:uid="{00000000-0004-0000-0000-0000C5070000}"/>
    <hyperlink ref="L2006" r:id="rId1991" tooltip="🔗 Ver Mapa" display="🔗 Ver Mapa" xr:uid="{00000000-0004-0000-0000-0000C6070000}"/>
    <hyperlink ref="L2007" r:id="rId1992" tooltip="🔗 Ver Mapa" display="🔗 Ver Mapa" xr:uid="{00000000-0004-0000-0000-0000C7070000}"/>
    <hyperlink ref="L2008" r:id="rId1993" tooltip="🔗 Ver Mapa" display="🔗 Ver Mapa" xr:uid="{00000000-0004-0000-0000-0000C8070000}"/>
    <hyperlink ref="L2009" r:id="rId1994" tooltip="🔗 Ver Mapa" display="🔗 Ver Mapa" xr:uid="{00000000-0004-0000-0000-0000C9070000}"/>
    <hyperlink ref="L2010" r:id="rId1995" tooltip="🔗 Ver Mapa" display="🔗 Ver Mapa" xr:uid="{00000000-0004-0000-0000-0000CA070000}"/>
    <hyperlink ref="L2011" r:id="rId1996" tooltip="🔗 Ver Mapa" display="🔗 Ver Mapa" xr:uid="{00000000-0004-0000-0000-0000CB070000}"/>
    <hyperlink ref="L2012" r:id="rId1997" tooltip="🔗 Ver Mapa" display="🔗 Ver Mapa" xr:uid="{00000000-0004-0000-0000-0000CC070000}"/>
    <hyperlink ref="L2013" r:id="rId1998" tooltip="🔗 Ver Mapa" display="🔗 Ver Mapa" xr:uid="{00000000-0004-0000-0000-0000CD070000}"/>
    <hyperlink ref="L2014" r:id="rId1999" tooltip="🔗 Ver Mapa" display="🔗 Ver Mapa" xr:uid="{00000000-0004-0000-0000-0000CE070000}"/>
    <hyperlink ref="L2015" r:id="rId2000" tooltip="🔗 Ver Mapa" display="🔗 Ver Mapa" xr:uid="{00000000-0004-0000-0000-0000CF070000}"/>
    <hyperlink ref="L2016" r:id="rId2001" tooltip="🔗 Ver Mapa" display="🔗 Ver Mapa" xr:uid="{00000000-0004-0000-0000-0000D0070000}"/>
    <hyperlink ref="L2017" r:id="rId2002" tooltip="🔗 Ver Mapa" display="🔗 Ver Mapa" xr:uid="{00000000-0004-0000-0000-0000D1070000}"/>
    <hyperlink ref="L2018" r:id="rId2003" tooltip="🔗 Ver Mapa" display="🔗 Ver Mapa" xr:uid="{00000000-0004-0000-0000-0000D2070000}"/>
    <hyperlink ref="L2019" r:id="rId2004" tooltip="🔗 Ver Mapa" display="🔗 Ver Mapa" xr:uid="{00000000-0004-0000-0000-0000D3070000}"/>
    <hyperlink ref="L2020" r:id="rId2005" tooltip="🔗 Ver Mapa" display="🔗 Ver Mapa" xr:uid="{00000000-0004-0000-0000-0000D4070000}"/>
    <hyperlink ref="L2021" r:id="rId2006" tooltip="🔗 Ver Mapa" display="🔗 Ver Mapa" xr:uid="{00000000-0004-0000-0000-0000D5070000}"/>
    <hyperlink ref="L2022" r:id="rId2007" tooltip="🔗 Ver Mapa" display="🔗 Ver Mapa" xr:uid="{00000000-0004-0000-0000-0000D6070000}"/>
    <hyperlink ref="L2023" r:id="rId2008" tooltip="🔗 Ver Mapa" display="🔗 Ver Mapa" xr:uid="{00000000-0004-0000-0000-0000D7070000}"/>
    <hyperlink ref="L2024" r:id="rId2009" tooltip="🔗 Ver Mapa" display="🔗 Ver Mapa" xr:uid="{00000000-0004-0000-0000-0000D8070000}"/>
    <hyperlink ref="L2025" r:id="rId2010" tooltip="🔗 Ver Mapa" display="🔗 Ver Mapa" xr:uid="{00000000-0004-0000-0000-0000D9070000}"/>
    <hyperlink ref="L2026" r:id="rId2011" tooltip="🔗 Ver Mapa" display="🔗 Ver Mapa" xr:uid="{00000000-0004-0000-0000-0000DA070000}"/>
    <hyperlink ref="L2027" r:id="rId2012" tooltip="🔗 Ver Mapa" display="🔗 Ver Mapa" xr:uid="{00000000-0004-0000-0000-0000DB070000}"/>
    <hyperlink ref="L2028" r:id="rId2013" tooltip="🔗 Ver Mapa" display="🔗 Ver Mapa" xr:uid="{00000000-0004-0000-0000-0000DC070000}"/>
    <hyperlink ref="L2029" r:id="rId2014" tooltip="🔗 Ver Mapa" display="🔗 Ver Mapa" xr:uid="{00000000-0004-0000-0000-0000DD070000}"/>
    <hyperlink ref="L2030" r:id="rId2015" tooltip="🔗 Ver Mapa" display="🔗 Ver Mapa" xr:uid="{00000000-0004-0000-0000-0000DE070000}"/>
    <hyperlink ref="L2031" r:id="rId2016" tooltip="🔗 Ver Mapa" display="🔗 Ver Mapa" xr:uid="{00000000-0004-0000-0000-0000DF070000}"/>
    <hyperlink ref="L2032" r:id="rId2017" tooltip="🔗 Ver Mapa" display="🔗 Ver Mapa" xr:uid="{00000000-0004-0000-0000-0000E0070000}"/>
    <hyperlink ref="L2033" r:id="rId2018" tooltip="🔗 Ver Mapa" display="🔗 Ver Mapa" xr:uid="{00000000-0004-0000-0000-0000E1070000}"/>
    <hyperlink ref="L2034" r:id="rId2019" tooltip="🔗 Ver Mapa" display="🔗 Ver Mapa" xr:uid="{00000000-0004-0000-0000-0000E2070000}"/>
    <hyperlink ref="L2035" r:id="rId2020" tooltip="🔗 Ver Mapa" display="🔗 Ver Mapa" xr:uid="{00000000-0004-0000-0000-0000E3070000}"/>
    <hyperlink ref="L2036" r:id="rId2021" tooltip="🔗 Ver Mapa" display="🔗 Ver Mapa" xr:uid="{00000000-0004-0000-0000-0000E4070000}"/>
    <hyperlink ref="L2037" r:id="rId2022" tooltip="🔗 Ver Mapa" display="🔗 Ver Mapa" xr:uid="{00000000-0004-0000-0000-0000E5070000}"/>
    <hyperlink ref="L2038" r:id="rId2023" tooltip="🔗 Ver Mapa" display="🔗 Ver Mapa" xr:uid="{00000000-0004-0000-0000-0000E6070000}"/>
    <hyperlink ref="L2039" r:id="rId2024" tooltip="🔗 Ver Mapa" display="🔗 Ver Mapa" xr:uid="{00000000-0004-0000-0000-0000E7070000}"/>
    <hyperlink ref="L2040" r:id="rId2025" tooltip="🔗 Ver Mapa" display="🔗 Ver Mapa" xr:uid="{00000000-0004-0000-0000-0000E8070000}"/>
    <hyperlink ref="L2041" r:id="rId2026" tooltip="🔗 Ver Mapa" display="🔗 Ver Mapa" xr:uid="{00000000-0004-0000-0000-0000E9070000}"/>
    <hyperlink ref="L2042" r:id="rId2027" tooltip="🔗 Ver Mapa" display="🔗 Ver Mapa" xr:uid="{00000000-0004-0000-0000-0000EA070000}"/>
    <hyperlink ref="L2043" r:id="rId2028" tooltip="🔗 Ver Mapa" display="🔗 Ver Mapa" xr:uid="{00000000-0004-0000-0000-0000EB070000}"/>
    <hyperlink ref="L2044" r:id="rId2029" tooltip="🔗 Ver Mapa" display="🔗 Ver Mapa" xr:uid="{00000000-0004-0000-0000-0000EC070000}"/>
    <hyperlink ref="L2045" r:id="rId2030" tooltip="🔗 Ver Mapa" display="🔗 Ver Mapa" xr:uid="{00000000-0004-0000-0000-0000ED070000}"/>
    <hyperlink ref="L2046" r:id="rId2031" tooltip="🔗 Ver Mapa" display="🔗 Ver Mapa" xr:uid="{00000000-0004-0000-0000-0000EE070000}"/>
    <hyperlink ref="L2047" r:id="rId2032" tooltip="🔗 Ver Mapa" display="🔗 Ver Mapa" xr:uid="{00000000-0004-0000-0000-0000EF070000}"/>
    <hyperlink ref="L2048" r:id="rId2033" tooltip="🔗 Ver Mapa" display="🔗 Ver Mapa" xr:uid="{00000000-0004-0000-0000-0000F0070000}"/>
    <hyperlink ref="L2049" r:id="rId2034" tooltip="🔗 Ver Mapa" display="🔗 Ver Mapa" xr:uid="{00000000-0004-0000-0000-0000F1070000}"/>
    <hyperlink ref="L2050" r:id="rId2035" tooltip="🔗 Ver Mapa" display="🔗 Ver Mapa" xr:uid="{00000000-0004-0000-0000-0000F2070000}"/>
    <hyperlink ref="L2051" r:id="rId2036" tooltip="🔗 Ver Mapa" display="🔗 Ver Mapa" xr:uid="{00000000-0004-0000-0000-0000F3070000}"/>
    <hyperlink ref="L2052" r:id="rId2037" tooltip="🔗 Ver Mapa" display="🔗 Ver Mapa" xr:uid="{00000000-0004-0000-0000-0000F4070000}"/>
    <hyperlink ref="L2053" r:id="rId2038" tooltip="🔗 Ver Mapa" display="🔗 Ver Mapa" xr:uid="{00000000-0004-0000-0000-0000F5070000}"/>
    <hyperlink ref="L2054" r:id="rId2039" tooltip="🔗 Ver Mapa" display="🔗 Ver Mapa" xr:uid="{00000000-0004-0000-0000-0000F6070000}"/>
    <hyperlink ref="L2055" r:id="rId2040" tooltip="🔗 Ver Mapa" display="🔗 Ver Mapa" xr:uid="{00000000-0004-0000-0000-0000F7070000}"/>
    <hyperlink ref="L2056" r:id="rId2041" tooltip="🔗 Ver Mapa" display="🔗 Ver Mapa" xr:uid="{00000000-0004-0000-0000-0000F8070000}"/>
    <hyperlink ref="L2057" r:id="rId2042" tooltip="🔗 Ver Mapa" display="🔗 Ver Mapa" xr:uid="{00000000-0004-0000-0000-0000F9070000}"/>
    <hyperlink ref="L2058" r:id="rId2043" tooltip="🔗 Ver Mapa" display="🔗 Ver Mapa" xr:uid="{00000000-0004-0000-0000-0000FA070000}"/>
    <hyperlink ref="L2059" r:id="rId2044" tooltip="🔗 Ver Mapa" display="🔗 Ver Mapa" xr:uid="{00000000-0004-0000-0000-0000FB070000}"/>
    <hyperlink ref="L2060" r:id="rId2045" tooltip="🔗 Ver Mapa" display="🔗 Ver Mapa" xr:uid="{00000000-0004-0000-0000-0000FC070000}"/>
    <hyperlink ref="L2061" r:id="rId2046" tooltip="🔗 Ver Mapa" display="🔗 Ver Mapa" xr:uid="{00000000-0004-0000-0000-0000FD070000}"/>
    <hyperlink ref="L2062" r:id="rId2047" tooltip="🔗 Ver Mapa" display="🔗 Ver Mapa" xr:uid="{00000000-0004-0000-0000-0000FE070000}"/>
    <hyperlink ref="L2063" r:id="rId2048" tooltip="🔗 Ver Mapa" display="🔗 Ver Mapa" xr:uid="{00000000-0004-0000-0000-0000FF070000}"/>
    <hyperlink ref="L2064" r:id="rId2049" tooltip="🔗 Ver Mapa" display="🔗 Ver Mapa" xr:uid="{00000000-0004-0000-0000-000000080000}"/>
    <hyperlink ref="L2065" r:id="rId2050" tooltip="🔗 Ver Mapa" display="🔗 Ver Mapa" xr:uid="{00000000-0004-0000-0000-000001080000}"/>
    <hyperlink ref="L2066" r:id="rId2051" tooltip="🔗 Ver Mapa" display="🔗 Ver Mapa" xr:uid="{00000000-0004-0000-0000-000002080000}"/>
    <hyperlink ref="L2067" r:id="rId2052" tooltip="🔗 Ver Mapa" display="🔗 Ver Mapa" xr:uid="{00000000-0004-0000-0000-000003080000}"/>
    <hyperlink ref="L2068" r:id="rId2053" tooltip="🔗 Ver Mapa" display="🔗 Ver Mapa" xr:uid="{00000000-0004-0000-0000-000004080000}"/>
    <hyperlink ref="L2069" r:id="rId2054" tooltip="🔗 Ver Mapa" display="🔗 Ver Mapa" xr:uid="{00000000-0004-0000-0000-000005080000}"/>
    <hyperlink ref="L2070" r:id="rId2055" tooltip="🔗 Ver Mapa" display="🔗 Ver Mapa" xr:uid="{00000000-0004-0000-0000-000006080000}"/>
    <hyperlink ref="L2071" r:id="rId2056" tooltip="🔗 Ver Mapa" display="🔗 Ver Mapa" xr:uid="{00000000-0004-0000-0000-000007080000}"/>
    <hyperlink ref="L2072" r:id="rId2057" tooltip="🔗 Ver Mapa" display="🔗 Ver Mapa" xr:uid="{00000000-0004-0000-0000-000008080000}"/>
    <hyperlink ref="L2073" r:id="rId2058" tooltip="🔗 Ver Mapa" display="🔗 Ver Mapa" xr:uid="{00000000-0004-0000-0000-000009080000}"/>
    <hyperlink ref="L2074" r:id="rId2059" tooltip="🔗 Ver Mapa" display="🔗 Ver Mapa" xr:uid="{00000000-0004-0000-0000-00000A080000}"/>
    <hyperlink ref="L2075" r:id="rId2060" tooltip="🔗 Ver Mapa" display="🔗 Ver Mapa" xr:uid="{00000000-0004-0000-0000-00000B080000}"/>
    <hyperlink ref="L2076" r:id="rId2061" tooltip="🔗 Ver Mapa" display="🔗 Ver Mapa" xr:uid="{00000000-0004-0000-0000-00000C080000}"/>
    <hyperlink ref="L2077" r:id="rId2062" tooltip="🔗 Ver Mapa" display="🔗 Ver Mapa" xr:uid="{00000000-0004-0000-0000-00000D080000}"/>
    <hyperlink ref="L2078" r:id="rId2063" tooltip="🔗 Ver Mapa" display="🔗 Ver Mapa" xr:uid="{00000000-0004-0000-0000-00000E080000}"/>
    <hyperlink ref="L2079" r:id="rId2064" tooltip="🔗 Ver Mapa" display="🔗 Ver Mapa" xr:uid="{00000000-0004-0000-0000-00000F080000}"/>
    <hyperlink ref="L2080" r:id="rId2065" tooltip="🔗 Ver Mapa" display="🔗 Ver Mapa" xr:uid="{00000000-0004-0000-0000-000010080000}"/>
    <hyperlink ref="L2081" r:id="rId2066" tooltip="🔗 Ver Mapa" display="🔗 Ver Mapa" xr:uid="{00000000-0004-0000-0000-000011080000}"/>
    <hyperlink ref="L2082" r:id="rId2067" tooltip="🔗 Ver Mapa" display="🔗 Ver Mapa" xr:uid="{00000000-0004-0000-0000-000012080000}"/>
    <hyperlink ref="L2083" r:id="rId2068" tooltip="🔗 Ver Mapa" display="🔗 Ver Mapa" xr:uid="{00000000-0004-0000-0000-000013080000}"/>
    <hyperlink ref="L2084" r:id="rId2069" tooltip="🔗 Ver Mapa" display="🔗 Ver Mapa" xr:uid="{00000000-0004-0000-0000-000014080000}"/>
    <hyperlink ref="L2085" r:id="rId2070" tooltip="🔗 Ver Mapa" display="🔗 Ver Mapa" xr:uid="{00000000-0004-0000-0000-000015080000}"/>
    <hyperlink ref="L2086" r:id="rId2071" tooltip="🔗 Ver Mapa" display="🔗 Ver Mapa" xr:uid="{00000000-0004-0000-0000-000016080000}"/>
    <hyperlink ref="L2087" r:id="rId2072" tooltip="🔗 Ver Mapa" display="🔗 Ver Mapa" xr:uid="{00000000-0004-0000-0000-000017080000}"/>
    <hyperlink ref="L2088" r:id="rId2073" tooltip="🔗 Ver Mapa" display="🔗 Ver Mapa" xr:uid="{00000000-0004-0000-0000-000018080000}"/>
    <hyperlink ref="L2089" r:id="rId2074" tooltip="🔗 Ver Mapa" display="🔗 Ver Mapa" xr:uid="{00000000-0004-0000-0000-000019080000}"/>
    <hyperlink ref="L2090" r:id="rId2075" tooltip="🔗 Ver Mapa" display="🔗 Ver Mapa" xr:uid="{00000000-0004-0000-0000-00001A080000}"/>
    <hyperlink ref="L2091" r:id="rId2076" tooltip="🔗 Ver Mapa" display="🔗 Ver Mapa" xr:uid="{00000000-0004-0000-0000-00001B080000}"/>
    <hyperlink ref="L2092" r:id="rId2077" tooltip="🔗 Ver Mapa" display="🔗 Ver Mapa" xr:uid="{00000000-0004-0000-0000-00001C080000}"/>
    <hyperlink ref="L2093" r:id="rId2078" tooltip="🔗 Ver Mapa" display="🔗 Ver Mapa" xr:uid="{00000000-0004-0000-0000-00001D080000}"/>
    <hyperlink ref="L2094" r:id="rId2079" tooltip="🔗 Ver Mapa" display="🔗 Ver Mapa" xr:uid="{00000000-0004-0000-0000-00001E080000}"/>
    <hyperlink ref="L2095" r:id="rId2080" tooltip="🔗 Ver Mapa" display="🔗 Ver Mapa" xr:uid="{00000000-0004-0000-0000-00001F080000}"/>
    <hyperlink ref="L2096" r:id="rId2081" tooltip="🔗 Ver Mapa" display="🔗 Ver Mapa" xr:uid="{00000000-0004-0000-0000-000020080000}"/>
    <hyperlink ref="L2097" r:id="rId2082" tooltip="🔗 Ver Mapa" display="🔗 Ver Mapa" xr:uid="{00000000-0004-0000-0000-000021080000}"/>
    <hyperlink ref="L2098" r:id="rId2083" tooltip="🔗 Ver Mapa" display="🔗 Ver Mapa" xr:uid="{00000000-0004-0000-0000-000022080000}"/>
    <hyperlink ref="L2099" r:id="rId2084" tooltip="🔗 Ver Mapa" display="🔗 Ver Mapa" xr:uid="{00000000-0004-0000-0000-000023080000}"/>
    <hyperlink ref="L2100" r:id="rId2085" tooltip="🔗 Ver Mapa" display="🔗 Ver Mapa" xr:uid="{00000000-0004-0000-0000-000024080000}"/>
    <hyperlink ref="L2101" r:id="rId2086" tooltip="🔗 Ver Mapa" display="🔗 Ver Mapa" xr:uid="{00000000-0004-0000-0000-000025080000}"/>
    <hyperlink ref="L2102" r:id="rId2087" tooltip="🔗 Ver Mapa" display="🔗 Ver Mapa" xr:uid="{00000000-0004-0000-0000-000026080000}"/>
    <hyperlink ref="L2103" r:id="rId2088" tooltip="🔗 Ver Mapa" display="🔗 Ver Mapa" xr:uid="{00000000-0004-0000-0000-000027080000}"/>
    <hyperlink ref="L2104" r:id="rId2089" tooltip="🔗 Ver Mapa" display="🔗 Ver Mapa" xr:uid="{00000000-0004-0000-0000-000028080000}"/>
    <hyperlink ref="L2105" r:id="rId2090" tooltip="🔗 Ver Mapa" display="🔗 Ver Mapa" xr:uid="{00000000-0004-0000-0000-000029080000}"/>
    <hyperlink ref="L2106" r:id="rId2091" tooltip="🔗 Ver Mapa" display="🔗 Ver Mapa" xr:uid="{00000000-0004-0000-0000-00002A080000}"/>
    <hyperlink ref="L2107" r:id="rId2092" tooltip="🔗 Ver Mapa" display="🔗 Ver Mapa" xr:uid="{00000000-0004-0000-0000-00002B080000}"/>
    <hyperlink ref="L2108" r:id="rId2093" tooltip="🔗 Ver Mapa" display="🔗 Ver Mapa" xr:uid="{00000000-0004-0000-0000-00002C080000}"/>
    <hyperlink ref="L2109" r:id="rId2094" tooltip="🔗 Ver Mapa" display="🔗 Ver Mapa" xr:uid="{00000000-0004-0000-0000-00002D080000}"/>
    <hyperlink ref="L2110" r:id="rId2095" tooltip="🔗 Ver Mapa" display="🔗 Ver Mapa" xr:uid="{00000000-0004-0000-0000-00002E080000}"/>
    <hyperlink ref="L2111" r:id="rId2096" tooltip="🔗 Ver Mapa" display="🔗 Ver Mapa" xr:uid="{00000000-0004-0000-0000-00002F080000}"/>
    <hyperlink ref="L2112" r:id="rId2097" tooltip="🔗 Ver Mapa" display="🔗 Ver Mapa" xr:uid="{00000000-0004-0000-0000-000030080000}"/>
    <hyperlink ref="L2113" r:id="rId2098" tooltip="🔗 Ver Mapa" display="🔗 Ver Mapa" xr:uid="{00000000-0004-0000-0000-000031080000}"/>
    <hyperlink ref="L2114" r:id="rId2099" tooltip="🔗 Ver Mapa" display="🔗 Ver Mapa" xr:uid="{00000000-0004-0000-0000-000032080000}"/>
    <hyperlink ref="L2115" r:id="rId2100" tooltip="🔗 Ver Mapa" display="🔗 Ver Mapa" xr:uid="{00000000-0004-0000-0000-000033080000}"/>
    <hyperlink ref="L2116" r:id="rId2101" tooltip="🔗 Ver Mapa" display="🔗 Ver Mapa" xr:uid="{00000000-0004-0000-0000-000034080000}"/>
    <hyperlink ref="L2117" r:id="rId2102" tooltip="🔗 Ver Mapa" display="🔗 Ver Mapa" xr:uid="{00000000-0004-0000-0000-000035080000}"/>
    <hyperlink ref="L2118" r:id="rId2103" tooltip="🔗 Ver Mapa" display="🔗 Ver Mapa" xr:uid="{00000000-0004-0000-0000-000036080000}"/>
    <hyperlink ref="L2119" r:id="rId2104" tooltip="🔗 Ver Mapa" display="🔗 Ver Mapa" xr:uid="{00000000-0004-0000-0000-000037080000}"/>
    <hyperlink ref="L2120" r:id="rId2105" tooltip="🔗 Ver Mapa" display="🔗 Ver Mapa" xr:uid="{00000000-0004-0000-0000-000038080000}"/>
    <hyperlink ref="L2121" r:id="rId2106" tooltip="🔗 Ver Mapa" display="🔗 Ver Mapa" xr:uid="{00000000-0004-0000-0000-000039080000}"/>
    <hyperlink ref="L2122" r:id="rId2107" tooltip="🔗 Ver Mapa" display="🔗 Ver Mapa" xr:uid="{00000000-0004-0000-0000-00003A080000}"/>
    <hyperlink ref="L2123" r:id="rId2108" tooltip="🔗 Ver Mapa" display="🔗 Ver Mapa" xr:uid="{00000000-0004-0000-0000-00003B080000}"/>
    <hyperlink ref="L2124" r:id="rId2109" tooltip="🔗 Ver Mapa" display="🔗 Ver Mapa" xr:uid="{00000000-0004-0000-0000-00003C080000}"/>
    <hyperlink ref="L2125" r:id="rId2110" tooltip="🔗 Ver Mapa" display="🔗 Ver Mapa" xr:uid="{00000000-0004-0000-0000-00003D080000}"/>
    <hyperlink ref="L2126" r:id="rId2111" tooltip="🔗 Ver Mapa" display="🔗 Ver Mapa" xr:uid="{00000000-0004-0000-0000-00003E080000}"/>
    <hyperlink ref="L2127" r:id="rId2112" tooltip="🔗 Ver Mapa" display="🔗 Ver Mapa" xr:uid="{00000000-0004-0000-0000-00003F080000}"/>
    <hyperlink ref="L2128" r:id="rId2113" tooltip="🔗 Ver Mapa" display="🔗 Ver Mapa" xr:uid="{00000000-0004-0000-0000-000040080000}"/>
    <hyperlink ref="L2129" r:id="rId2114" tooltip="🔗 Ver Mapa" display="🔗 Ver Mapa" xr:uid="{00000000-0004-0000-0000-000041080000}"/>
    <hyperlink ref="L2130" r:id="rId2115" tooltip="🔗 Ver Mapa" display="🔗 Ver Mapa" xr:uid="{00000000-0004-0000-0000-000042080000}"/>
    <hyperlink ref="L2131" r:id="rId2116" tooltip="🔗 Ver Mapa" display="🔗 Ver Mapa" xr:uid="{00000000-0004-0000-0000-000043080000}"/>
    <hyperlink ref="L2132" r:id="rId2117" tooltip="🔗 Ver Mapa" display="🔗 Ver Mapa" xr:uid="{00000000-0004-0000-0000-000044080000}"/>
    <hyperlink ref="L2133" r:id="rId2118" tooltip="🔗 Ver Mapa" display="🔗 Ver Mapa" xr:uid="{00000000-0004-0000-0000-000045080000}"/>
    <hyperlink ref="L2134" r:id="rId2119" tooltip="🔗 Ver Mapa" display="🔗 Ver Mapa" xr:uid="{00000000-0004-0000-0000-000046080000}"/>
    <hyperlink ref="L2135" r:id="rId2120" tooltip="🔗 Ver Mapa" display="🔗 Ver Mapa" xr:uid="{00000000-0004-0000-0000-000047080000}"/>
    <hyperlink ref="L2136" r:id="rId2121" tooltip="🔗 Ver Mapa" display="🔗 Ver Mapa" xr:uid="{00000000-0004-0000-0000-000048080000}"/>
    <hyperlink ref="L2137" r:id="rId2122" tooltip="🔗 Ver Mapa" display="🔗 Ver Mapa" xr:uid="{00000000-0004-0000-0000-000049080000}"/>
    <hyperlink ref="L2138" r:id="rId2123" tooltip="🔗 Ver Mapa" display="🔗 Ver Mapa" xr:uid="{00000000-0004-0000-0000-00004A080000}"/>
    <hyperlink ref="L2139" r:id="rId2124" tooltip="🔗 Ver Mapa" display="🔗 Ver Mapa" xr:uid="{00000000-0004-0000-0000-00004B080000}"/>
    <hyperlink ref="L2140" r:id="rId2125" tooltip="🔗 Ver Mapa" display="🔗 Ver Mapa" xr:uid="{00000000-0004-0000-0000-00004C080000}"/>
    <hyperlink ref="L2141" r:id="rId2126" tooltip="🔗 Ver Mapa" display="🔗 Ver Mapa" xr:uid="{00000000-0004-0000-0000-00004D080000}"/>
    <hyperlink ref="L2142" r:id="rId2127" tooltip="🔗 Ver Mapa" display="🔗 Ver Mapa" xr:uid="{00000000-0004-0000-0000-00004E080000}"/>
    <hyperlink ref="L2143" r:id="rId2128" tooltip="🔗 Ver Mapa" display="🔗 Ver Mapa" xr:uid="{00000000-0004-0000-0000-00004F080000}"/>
    <hyperlink ref="L2144" r:id="rId2129" tooltip="🔗 Ver Mapa" display="🔗 Ver Mapa" xr:uid="{00000000-0004-0000-0000-000050080000}"/>
    <hyperlink ref="L2145" r:id="rId2130" tooltip="🔗 Ver Mapa" display="🔗 Ver Mapa" xr:uid="{00000000-0004-0000-0000-000051080000}"/>
    <hyperlink ref="L2146" r:id="rId2131" tooltip="🔗 Ver Mapa" display="🔗 Ver Mapa" xr:uid="{00000000-0004-0000-0000-000052080000}"/>
    <hyperlink ref="L2147" r:id="rId2132" tooltip="🔗 Ver Mapa" display="🔗 Ver Mapa" xr:uid="{00000000-0004-0000-0000-000053080000}"/>
    <hyperlink ref="L2148" r:id="rId2133" tooltip="🔗 Ver Mapa" display="🔗 Ver Mapa" xr:uid="{00000000-0004-0000-0000-000054080000}"/>
    <hyperlink ref="L2149" r:id="rId2134" tooltip="🔗 Ver Mapa" display="🔗 Ver Mapa" xr:uid="{00000000-0004-0000-0000-000055080000}"/>
    <hyperlink ref="L2150" r:id="rId2135" tooltip="🔗 Ver Mapa" display="🔗 Ver Mapa" xr:uid="{00000000-0004-0000-0000-000056080000}"/>
    <hyperlink ref="L2151" r:id="rId2136" tooltip="🔗 Ver Mapa" display="🔗 Ver Mapa" xr:uid="{00000000-0004-0000-0000-000057080000}"/>
    <hyperlink ref="L2152" r:id="rId2137" tooltip="🔗 Ver Mapa" display="🔗 Ver Mapa" xr:uid="{00000000-0004-0000-0000-000058080000}"/>
    <hyperlink ref="L2153" r:id="rId2138" tooltip="🔗 Ver Mapa" display="🔗 Ver Mapa" xr:uid="{00000000-0004-0000-0000-000059080000}"/>
    <hyperlink ref="L2154" r:id="rId2139" tooltip="🔗 Ver Mapa" display="🔗 Ver Mapa" xr:uid="{00000000-0004-0000-0000-00005A080000}"/>
    <hyperlink ref="L2155" r:id="rId2140" tooltip="🔗 Ver Mapa" display="🔗 Ver Mapa" xr:uid="{00000000-0004-0000-0000-00005B080000}"/>
    <hyperlink ref="L2156" r:id="rId2141" tooltip="🔗 Ver Mapa" display="🔗 Ver Mapa" xr:uid="{00000000-0004-0000-0000-00005C080000}"/>
    <hyperlink ref="L2157" r:id="rId2142" tooltip="🔗 Ver Mapa" display="🔗 Ver Mapa" xr:uid="{00000000-0004-0000-0000-00005D080000}"/>
    <hyperlink ref="L2158" r:id="rId2143" tooltip="🔗 Ver Mapa" display="🔗 Ver Mapa" xr:uid="{00000000-0004-0000-0000-00005E080000}"/>
    <hyperlink ref="L2159" r:id="rId2144" tooltip="🔗 Ver Mapa" display="🔗 Ver Mapa" xr:uid="{00000000-0004-0000-0000-00005F080000}"/>
    <hyperlink ref="L2160" r:id="rId2145" tooltip="🔗 Ver Mapa" display="🔗 Ver Mapa" xr:uid="{00000000-0004-0000-0000-000060080000}"/>
    <hyperlink ref="L2161" r:id="rId2146" tooltip="🔗 Ver Mapa" display="🔗 Ver Mapa" xr:uid="{00000000-0004-0000-0000-000061080000}"/>
    <hyperlink ref="L2162" r:id="rId2147" tooltip="🔗 Ver Mapa" display="🔗 Ver Mapa" xr:uid="{00000000-0004-0000-0000-000062080000}"/>
    <hyperlink ref="L2163" r:id="rId2148" tooltip="🔗 Ver Mapa" display="🔗 Ver Mapa" xr:uid="{00000000-0004-0000-0000-000063080000}"/>
    <hyperlink ref="L2164" r:id="rId2149" tooltip="🔗 Ver Mapa" display="🔗 Ver Mapa" xr:uid="{00000000-0004-0000-0000-000064080000}"/>
    <hyperlink ref="L2165" r:id="rId2150" tooltip="🔗 Ver Mapa" display="🔗 Ver Mapa" xr:uid="{00000000-0004-0000-0000-000065080000}"/>
    <hyperlink ref="L2166" r:id="rId2151" tooltip="🔗 Ver Mapa" display="🔗 Ver Mapa" xr:uid="{00000000-0004-0000-0000-000066080000}"/>
    <hyperlink ref="L2167" r:id="rId2152" tooltip="🔗 Ver Mapa" display="🔗 Ver Mapa" xr:uid="{00000000-0004-0000-0000-000067080000}"/>
    <hyperlink ref="L2168" r:id="rId2153" tooltip="🔗 Ver Mapa" display="🔗 Ver Mapa" xr:uid="{00000000-0004-0000-0000-000068080000}"/>
    <hyperlink ref="L2169" r:id="rId2154" tooltip="🔗 Ver Mapa" display="🔗 Ver Mapa" xr:uid="{00000000-0004-0000-0000-000069080000}"/>
    <hyperlink ref="L2170" r:id="rId2155" tooltip="🔗 Ver Mapa" display="🔗 Ver Mapa" xr:uid="{00000000-0004-0000-0000-00006A080000}"/>
    <hyperlink ref="L2171" r:id="rId2156" tooltip="🔗 Ver Mapa" display="🔗 Ver Mapa" xr:uid="{00000000-0004-0000-0000-00006B080000}"/>
    <hyperlink ref="L2172" r:id="rId2157" tooltip="🔗 Ver Mapa" display="🔗 Ver Mapa" xr:uid="{00000000-0004-0000-0000-00006C080000}"/>
    <hyperlink ref="L2173" r:id="rId2158" tooltip="🔗 Ver Mapa" display="🔗 Ver Mapa" xr:uid="{00000000-0004-0000-0000-00006D080000}"/>
    <hyperlink ref="L2174" r:id="rId2159" tooltip="🔗 Ver Mapa" display="🔗 Ver Mapa" xr:uid="{00000000-0004-0000-0000-00006E080000}"/>
    <hyperlink ref="L2175" r:id="rId2160" tooltip="🔗 Ver Mapa" display="🔗 Ver Mapa" xr:uid="{00000000-0004-0000-0000-00006F080000}"/>
    <hyperlink ref="L2176" r:id="rId2161" tooltip="🔗 Ver Mapa" display="🔗 Ver Mapa" xr:uid="{00000000-0004-0000-0000-000070080000}"/>
    <hyperlink ref="L2177" r:id="rId2162" tooltip="🔗 Ver Mapa" display="🔗 Ver Mapa" xr:uid="{00000000-0004-0000-0000-000071080000}"/>
    <hyperlink ref="L2178" r:id="rId2163" tooltip="🔗 Ver Mapa" display="🔗 Ver Mapa" xr:uid="{00000000-0004-0000-0000-000072080000}"/>
    <hyperlink ref="L2179" r:id="rId2164" tooltip="🔗 Ver Mapa" display="🔗 Ver Mapa" xr:uid="{00000000-0004-0000-0000-000073080000}"/>
    <hyperlink ref="L2180" r:id="rId2165" tooltip="🔗 Ver Mapa" display="🔗 Ver Mapa" xr:uid="{00000000-0004-0000-0000-000074080000}"/>
    <hyperlink ref="L2181" r:id="rId2166" tooltip="🔗 Ver Mapa" display="🔗 Ver Mapa" xr:uid="{00000000-0004-0000-0000-000075080000}"/>
    <hyperlink ref="L2182" r:id="rId2167" tooltip="🔗 Ver Mapa" display="🔗 Ver Mapa" xr:uid="{00000000-0004-0000-0000-000076080000}"/>
    <hyperlink ref="L2183" r:id="rId2168" tooltip="🔗 Ver Mapa" display="🔗 Ver Mapa" xr:uid="{00000000-0004-0000-0000-000077080000}"/>
    <hyperlink ref="L2184" r:id="rId2169" tooltip="🔗 Ver Mapa" display="🔗 Ver Mapa" xr:uid="{00000000-0004-0000-0000-000078080000}"/>
    <hyperlink ref="L2185" r:id="rId2170" tooltip="🔗 Ver Mapa" display="🔗 Ver Mapa" xr:uid="{00000000-0004-0000-0000-000079080000}"/>
    <hyperlink ref="L2186" r:id="rId2171" tooltip="🔗 Ver Mapa" display="🔗 Ver Mapa" xr:uid="{00000000-0004-0000-0000-00007A080000}"/>
    <hyperlink ref="L2187" r:id="rId2172" tooltip="🔗 Ver Mapa" display="🔗 Ver Mapa" xr:uid="{00000000-0004-0000-0000-00007B080000}"/>
    <hyperlink ref="L2188" r:id="rId2173" tooltip="🔗 Ver Mapa" display="🔗 Ver Mapa" xr:uid="{00000000-0004-0000-0000-00007C080000}"/>
    <hyperlink ref="L2189" r:id="rId2174" tooltip="🔗 Ver Mapa" display="🔗 Ver Mapa" xr:uid="{00000000-0004-0000-0000-00007D080000}"/>
    <hyperlink ref="L2190" r:id="rId2175" tooltip="🔗 Ver Mapa" display="🔗 Ver Mapa" xr:uid="{00000000-0004-0000-0000-00007E080000}"/>
    <hyperlink ref="L2191" r:id="rId2176" tooltip="🔗 Ver Mapa" display="🔗 Ver Mapa" xr:uid="{00000000-0004-0000-0000-00007F080000}"/>
    <hyperlink ref="L2192" r:id="rId2177" tooltip="🔗 Ver Mapa" display="🔗 Ver Mapa" xr:uid="{00000000-0004-0000-0000-000080080000}"/>
    <hyperlink ref="L2193" r:id="rId2178" tooltip="🔗 Ver Mapa" display="🔗 Ver Mapa" xr:uid="{00000000-0004-0000-0000-000081080000}"/>
    <hyperlink ref="L2194" r:id="rId2179" tooltip="🔗 Ver Mapa" display="🔗 Ver Mapa" xr:uid="{00000000-0004-0000-0000-000082080000}"/>
    <hyperlink ref="L2195" r:id="rId2180" tooltip="🔗 Ver Mapa" display="🔗 Ver Mapa" xr:uid="{00000000-0004-0000-0000-000083080000}"/>
    <hyperlink ref="L2196" r:id="rId2181" tooltip="🔗 Ver Mapa" display="🔗 Ver Mapa" xr:uid="{00000000-0004-0000-0000-000084080000}"/>
    <hyperlink ref="L2197" r:id="rId2182" tooltip="🔗 Ver Mapa" display="🔗 Ver Mapa" xr:uid="{00000000-0004-0000-0000-000085080000}"/>
    <hyperlink ref="L2198" r:id="rId2183" tooltip="🔗 Ver Mapa" display="🔗 Ver Mapa" xr:uid="{00000000-0004-0000-0000-000086080000}"/>
    <hyperlink ref="L2199" r:id="rId2184" tooltip="🔗 Ver Mapa" display="🔗 Ver Mapa" xr:uid="{00000000-0004-0000-0000-000087080000}"/>
    <hyperlink ref="L2200" r:id="rId2185" tooltip="🔗 Ver Mapa" display="🔗 Ver Mapa" xr:uid="{00000000-0004-0000-0000-000088080000}"/>
    <hyperlink ref="L2201" r:id="rId2186" tooltip="🔗 Ver Mapa" display="🔗 Ver Mapa" xr:uid="{00000000-0004-0000-0000-000089080000}"/>
    <hyperlink ref="L2202" r:id="rId2187" tooltip="🔗 Ver Mapa" display="🔗 Ver Mapa" xr:uid="{00000000-0004-0000-0000-00008A080000}"/>
    <hyperlink ref="L2203" r:id="rId2188" tooltip="🔗 Ver Mapa" display="🔗 Ver Mapa" xr:uid="{00000000-0004-0000-0000-00008B080000}"/>
    <hyperlink ref="L2204" r:id="rId2189" tooltip="🔗 Ver Mapa" display="🔗 Ver Mapa" xr:uid="{00000000-0004-0000-0000-00008C080000}"/>
    <hyperlink ref="L2205" r:id="rId2190" tooltip="🔗 Ver Mapa" display="🔗 Ver Mapa" xr:uid="{00000000-0004-0000-0000-00008D080000}"/>
    <hyperlink ref="L2206" r:id="rId2191" tooltip="🔗 Ver Mapa" display="🔗 Ver Mapa" xr:uid="{00000000-0004-0000-0000-00008E080000}"/>
    <hyperlink ref="L2207" r:id="rId2192" tooltip="🔗 Ver Mapa" display="🔗 Ver Mapa" xr:uid="{00000000-0004-0000-0000-00008F080000}"/>
    <hyperlink ref="L2208" r:id="rId2193" tooltip="🔗 Ver Mapa" display="🔗 Ver Mapa" xr:uid="{00000000-0004-0000-0000-000090080000}"/>
    <hyperlink ref="L2209" r:id="rId2194" tooltip="🔗 Ver Mapa" display="🔗 Ver Mapa" xr:uid="{00000000-0004-0000-0000-000091080000}"/>
    <hyperlink ref="L2210" r:id="rId2195" tooltip="🔗 Ver Mapa" display="🔗 Ver Mapa" xr:uid="{00000000-0004-0000-0000-000092080000}"/>
    <hyperlink ref="L2211" r:id="rId2196" tooltip="🔗 Ver Mapa" display="🔗 Ver Mapa" xr:uid="{00000000-0004-0000-0000-000093080000}"/>
    <hyperlink ref="L2212" r:id="rId2197" tooltip="🔗 Ver Mapa" display="🔗 Ver Mapa" xr:uid="{00000000-0004-0000-0000-000094080000}"/>
    <hyperlink ref="L2213" r:id="rId2198" tooltip="🔗 Ver Mapa" display="🔗 Ver Mapa" xr:uid="{00000000-0004-0000-0000-000095080000}"/>
    <hyperlink ref="L2214" r:id="rId2199" tooltip="🔗 Ver Mapa" display="🔗 Ver Mapa" xr:uid="{00000000-0004-0000-0000-000096080000}"/>
    <hyperlink ref="L2215" r:id="rId2200" tooltip="🔗 Ver Mapa" display="🔗 Ver Mapa" xr:uid="{00000000-0004-0000-0000-000097080000}"/>
    <hyperlink ref="L2216" r:id="rId2201" tooltip="🔗 Ver Mapa" display="🔗 Ver Mapa" xr:uid="{00000000-0004-0000-0000-000098080000}"/>
    <hyperlink ref="L2217" r:id="rId2202" tooltip="🔗 Ver Mapa" display="🔗 Ver Mapa" xr:uid="{00000000-0004-0000-0000-000099080000}"/>
    <hyperlink ref="L2218" r:id="rId2203" tooltip="🔗 Ver Mapa" display="🔗 Ver Mapa" xr:uid="{00000000-0004-0000-0000-00009A080000}"/>
    <hyperlink ref="L2219" r:id="rId2204" tooltip="🔗 Ver Mapa" display="🔗 Ver Mapa" xr:uid="{00000000-0004-0000-0000-00009B080000}"/>
    <hyperlink ref="L2220" r:id="rId2205" tooltip="🔗 Ver Mapa" display="🔗 Ver Mapa" xr:uid="{00000000-0004-0000-0000-00009C080000}"/>
    <hyperlink ref="L2221" r:id="rId2206" tooltip="🔗 Ver Mapa" display="🔗 Ver Mapa" xr:uid="{00000000-0004-0000-0000-00009D080000}"/>
    <hyperlink ref="L2222" r:id="rId2207" tooltip="🔗 Ver Mapa" display="🔗 Ver Mapa" xr:uid="{00000000-0004-0000-0000-00009E080000}"/>
    <hyperlink ref="L2223" r:id="rId2208" tooltip="🔗 Ver Mapa" display="🔗 Ver Mapa" xr:uid="{00000000-0004-0000-0000-00009F080000}"/>
    <hyperlink ref="L2224" r:id="rId2209" tooltip="🔗 Ver Mapa" display="🔗 Ver Mapa" xr:uid="{00000000-0004-0000-0000-0000A0080000}"/>
    <hyperlink ref="L2225" r:id="rId2210" tooltip="🔗 Ver Mapa" display="🔗 Ver Mapa" xr:uid="{00000000-0004-0000-0000-0000A1080000}"/>
    <hyperlink ref="L2226" r:id="rId2211" tooltip="🔗 Ver Mapa" display="🔗 Ver Mapa" xr:uid="{00000000-0004-0000-0000-0000A2080000}"/>
    <hyperlink ref="L2227" r:id="rId2212" tooltip="🔗 Ver Mapa" display="🔗 Ver Mapa" xr:uid="{00000000-0004-0000-0000-0000A3080000}"/>
    <hyperlink ref="L2228" r:id="rId2213" tooltip="🔗 Ver Mapa" display="🔗 Ver Mapa" xr:uid="{00000000-0004-0000-0000-0000A4080000}"/>
    <hyperlink ref="L2229" r:id="rId2214" tooltip="🔗 Ver Mapa" display="🔗 Ver Mapa" xr:uid="{00000000-0004-0000-0000-0000A5080000}"/>
    <hyperlink ref="L2230" r:id="rId2215" tooltip="🔗 Ver Mapa" display="🔗 Ver Mapa" xr:uid="{00000000-0004-0000-0000-0000A6080000}"/>
    <hyperlink ref="L2231" r:id="rId2216" tooltip="🔗 Ver Mapa" display="🔗 Ver Mapa" xr:uid="{00000000-0004-0000-0000-0000A7080000}"/>
    <hyperlink ref="L2232" r:id="rId2217" tooltip="🔗 Ver Mapa" display="🔗 Ver Mapa" xr:uid="{00000000-0004-0000-0000-0000A8080000}"/>
    <hyperlink ref="L2233" r:id="rId2218" tooltip="🔗 Ver Mapa" display="🔗 Ver Mapa" xr:uid="{00000000-0004-0000-0000-0000A9080000}"/>
    <hyperlink ref="L2234" r:id="rId2219" tooltip="🔗 Ver Mapa" display="🔗 Ver Mapa" xr:uid="{00000000-0004-0000-0000-0000AA080000}"/>
    <hyperlink ref="L2235" r:id="rId2220" tooltip="🔗 Ver Mapa" display="🔗 Ver Mapa" xr:uid="{00000000-0004-0000-0000-0000AB080000}"/>
    <hyperlink ref="L2236" r:id="rId2221" tooltip="🔗 Ver Mapa" display="🔗 Ver Mapa" xr:uid="{00000000-0004-0000-0000-0000AC080000}"/>
    <hyperlink ref="L2237" r:id="rId2222" tooltip="🔗 Ver Mapa" display="🔗 Ver Mapa" xr:uid="{00000000-0004-0000-0000-0000AD080000}"/>
    <hyperlink ref="L2238" r:id="rId2223" tooltip="🔗 Ver Mapa" display="🔗 Ver Mapa" xr:uid="{00000000-0004-0000-0000-0000AE080000}"/>
    <hyperlink ref="L2239" r:id="rId2224" tooltip="🔗 Ver Mapa" display="🔗 Ver Mapa" xr:uid="{00000000-0004-0000-0000-0000AF080000}"/>
    <hyperlink ref="L2240" r:id="rId2225" tooltip="🔗 Ver Mapa" display="🔗 Ver Mapa" xr:uid="{00000000-0004-0000-0000-0000B0080000}"/>
    <hyperlink ref="L2241" r:id="rId2226" tooltip="🔗 Ver Mapa" display="🔗 Ver Mapa" xr:uid="{00000000-0004-0000-0000-0000B1080000}"/>
    <hyperlink ref="L2242" r:id="rId2227" tooltip="🔗 Ver Mapa" display="🔗 Ver Mapa" xr:uid="{00000000-0004-0000-0000-0000B2080000}"/>
    <hyperlink ref="L2243" r:id="rId2228" tooltip="🔗 Ver Mapa" display="🔗 Ver Mapa" xr:uid="{00000000-0004-0000-0000-0000B3080000}"/>
    <hyperlink ref="L2244" r:id="rId2229" tooltip="🔗 Ver Mapa" display="🔗 Ver Mapa" xr:uid="{00000000-0004-0000-0000-0000B4080000}"/>
    <hyperlink ref="L2245" r:id="rId2230" tooltip="🔗 Ver Mapa" display="🔗 Ver Mapa" xr:uid="{00000000-0004-0000-0000-0000B5080000}"/>
    <hyperlink ref="L2246" r:id="rId2231" tooltip="🔗 Ver Mapa" display="🔗 Ver Mapa" xr:uid="{00000000-0004-0000-0000-0000B6080000}"/>
    <hyperlink ref="L2247" r:id="rId2232" tooltip="🔗 Ver Mapa" display="🔗 Ver Mapa" xr:uid="{00000000-0004-0000-0000-0000B7080000}"/>
    <hyperlink ref="L2248" r:id="rId2233" tooltip="🔗 Ver Mapa" display="🔗 Ver Mapa" xr:uid="{00000000-0004-0000-0000-0000B8080000}"/>
    <hyperlink ref="L2249" r:id="rId2234" tooltip="🔗 Ver Mapa" display="🔗 Ver Mapa" xr:uid="{00000000-0004-0000-0000-0000B9080000}"/>
    <hyperlink ref="L2250" r:id="rId2235" tooltip="🔗 Ver Mapa" display="🔗 Ver Mapa" xr:uid="{00000000-0004-0000-0000-0000BA080000}"/>
    <hyperlink ref="L2251" r:id="rId2236" tooltip="🔗 Ver Mapa" display="🔗 Ver Mapa" xr:uid="{00000000-0004-0000-0000-0000BB080000}"/>
    <hyperlink ref="L2252" r:id="rId2237" tooltip="🔗 Ver Mapa" display="🔗 Ver Mapa" xr:uid="{00000000-0004-0000-0000-0000BC080000}"/>
    <hyperlink ref="L2253" r:id="rId2238" tooltip="🔗 Ver Mapa" display="🔗 Ver Mapa" xr:uid="{00000000-0004-0000-0000-0000BD080000}"/>
    <hyperlink ref="L2254" r:id="rId2239" tooltip="🔗 Ver Mapa" display="🔗 Ver Mapa" xr:uid="{00000000-0004-0000-0000-0000BE080000}"/>
    <hyperlink ref="L2255" r:id="rId2240" tooltip="🔗 Ver Mapa" display="🔗 Ver Mapa" xr:uid="{00000000-0004-0000-0000-0000BF080000}"/>
    <hyperlink ref="L2256" r:id="rId2241" tooltip="🔗 Ver Mapa" display="🔗 Ver Mapa" xr:uid="{00000000-0004-0000-0000-0000C0080000}"/>
    <hyperlink ref="L2257" r:id="rId2242" tooltip="🔗 Ver Mapa" display="🔗 Ver Mapa" xr:uid="{00000000-0004-0000-0000-0000C1080000}"/>
    <hyperlink ref="L2258" r:id="rId2243" tooltip="🔗 Ver Mapa" display="🔗 Ver Mapa" xr:uid="{00000000-0004-0000-0000-0000C2080000}"/>
    <hyperlink ref="L2259" r:id="rId2244" tooltip="🔗 Ver Mapa" display="🔗 Ver Mapa" xr:uid="{00000000-0004-0000-0000-0000C3080000}"/>
    <hyperlink ref="L2260" r:id="rId2245" tooltip="🔗 Ver Mapa" display="🔗 Ver Mapa" xr:uid="{00000000-0004-0000-0000-0000C4080000}"/>
    <hyperlink ref="L2261" r:id="rId2246" tooltip="🔗 Ver Mapa" display="🔗 Ver Mapa" xr:uid="{00000000-0004-0000-0000-0000C5080000}"/>
    <hyperlink ref="L2262" r:id="rId2247" tooltip="🔗 Ver Mapa" display="🔗 Ver Mapa" xr:uid="{00000000-0004-0000-0000-0000C6080000}"/>
    <hyperlink ref="L2263" r:id="rId2248" tooltip="🔗 Ver Mapa" display="🔗 Ver Mapa" xr:uid="{00000000-0004-0000-0000-0000C7080000}"/>
    <hyperlink ref="L2264" r:id="rId2249" tooltip="🔗 Ver Mapa" display="🔗 Ver Mapa" xr:uid="{00000000-0004-0000-0000-0000C8080000}"/>
    <hyperlink ref="L2265" r:id="rId2250" tooltip="🔗 Ver Mapa" display="🔗 Ver Mapa" xr:uid="{00000000-0004-0000-0000-0000C9080000}"/>
    <hyperlink ref="L2266" r:id="rId2251" tooltip="🔗 Ver Mapa" display="🔗 Ver Mapa" xr:uid="{00000000-0004-0000-0000-0000CA080000}"/>
    <hyperlink ref="L2267" r:id="rId2252" tooltip="🔗 Ver Mapa" display="🔗 Ver Mapa" xr:uid="{00000000-0004-0000-0000-0000CB080000}"/>
    <hyperlink ref="L2268" r:id="rId2253" tooltip="🔗 Ver Mapa" display="🔗 Ver Mapa" xr:uid="{00000000-0004-0000-0000-0000CC080000}"/>
    <hyperlink ref="L2269" r:id="rId2254" tooltip="🔗 Ver Mapa" display="🔗 Ver Mapa" xr:uid="{00000000-0004-0000-0000-0000CD080000}"/>
    <hyperlink ref="L2270" r:id="rId2255" tooltip="🔗 Ver Mapa" display="🔗 Ver Mapa" xr:uid="{00000000-0004-0000-0000-0000CE080000}"/>
    <hyperlink ref="L2271" r:id="rId2256" tooltip="🔗 Ver Mapa" display="🔗 Ver Mapa" xr:uid="{00000000-0004-0000-0000-0000CF080000}"/>
    <hyperlink ref="L2272" r:id="rId2257" tooltip="🔗 Ver Mapa" display="🔗 Ver Mapa" xr:uid="{00000000-0004-0000-0000-0000D0080000}"/>
    <hyperlink ref="L2273" r:id="rId2258" tooltip="🔗 Ver Mapa" display="🔗 Ver Mapa" xr:uid="{00000000-0004-0000-0000-0000D1080000}"/>
    <hyperlink ref="L2274" r:id="rId2259" tooltip="🔗 Ver Mapa" display="🔗 Ver Mapa" xr:uid="{00000000-0004-0000-0000-0000D2080000}"/>
    <hyperlink ref="L2275" r:id="rId2260" tooltip="🔗 Ver Mapa" display="🔗 Ver Mapa" xr:uid="{00000000-0004-0000-0000-0000D3080000}"/>
    <hyperlink ref="L2276" r:id="rId2261" tooltip="🔗 Ver Mapa" display="🔗 Ver Mapa" xr:uid="{00000000-0004-0000-0000-0000D4080000}"/>
    <hyperlink ref="L2277" r:id="rId2262" tooltip="🔗 Ver Mapa" display="🔗 Ver Mapa" xr:uid="{00000000-0004-0000-0000-0000D5080000}"/>
    <hyperlink ref="L2278" r:id="rId2263" tooltip="🔗 Ver Mapa" display="🔗 Ver Mapa" xr:uid="{00000000-0004-0000-0000-0000D6080000}"/>
    <hyperlink ref="L2279" r:id="rId2264" tooltip="🔗 Ver Mapa" display="🔗 Ver Mapa" xr:uid="{00000000-0004-0000-0000-0000D7080000}"/>
    <hyperlink ref="L2280" r:id="rId2265" tooltip="🔗 Ver Mapa" display="🔗 Ver Mapa" xr:uid="{00000000-0004-0000-0000-0000D8080000}"/>
    <hyperlink ref="L2281" r:id="rId2266" tooltip="🔗 Ver Mapa" display="🔗 Ver Mapa" xr:uid="{00000000-0004-0000-0000-0000D9080000}"/>
    <hyperlink ref="L2282" r:id="rId2267" tooltip="🔗 Ver Mapa" display="🔗 Ver Mapa" xr:uid="{00000000-0004-0000-0000-0000DA080000}"/>
    <hyperlink ref="L2283" r:id="rId2268" tooltip="🔗 Ver Mapa" display="🔗 Ver Mapa" xr:uid="{00000000-0004-0000-0000-0000DB080000}"/>
    <hyperlink ref="L2284" r:id="rId2269" tooltip="🔗 Ver Mapa" display="🔗 Ver Mapa" xr:uid="{00000000-0004-0000-0000-0000DC080000}"/>
    <hyperlink ref="L2285" r:id="rId2270" tooltip="🔗 Ver Mapa" display="🔗 Ver Mapa" xr:uid="{00000000-0004-0000-0000-0000DD080000}"/>
    <hyperlink ref="L2286" r:id="rId2271" tooltip="🔗 Ver Mapa" display="🔗 Ver Mapa" xr:uid="{00000000-0004-0000-0000-0000DE080000}"/>
    <hyperlink ref="L2287" r:id="rId2272" tooltip="🔗 Ver Mapa" display="🔗 Ver Mapa" xr:uid="{00000000-0004-0000-0000-0000DF080000}"/>
    <hyperlink ref="L2288" r:id="rId2273" tooltip="🔗 Ver Mapa" display="🔗 Ver Mapa" xr:uid="{00000000-0004-0000-0000-0000E0080000}"/>
    <hyperlink ref="L2289" r:id="rId2274" tooltip="🔗 Ver Mapa" display="🔗 Ver Mapa" xr:uid="{00000000-0004-0000-0000-0000E1080000}"/>
    <hyperlink ref="L2290" r:id="rId2275" tooltip="🔗 Ver Mapa" display="🔗 Ver Mapa" xr:uid="{00000000-0004-0000-0000-0000E2080000}"/>
    <hyperlink ref="L2291" r:id="rId2276" tooltip="🔗 Ver Mapa" display="🔗 Ver Mapa" xr:uid="{00000000-0004-0000-0000-0000E3080000}"/>
    <hyperlink ref="L2292" r:id="rId2277" tooltip="🔗 Ver Mapa" display="🔗 Ver Mapa" xr:uid="{00000000-0004-0000-0000-0000E4080000}"/>
    <hyperlink ref="L2293" r:id="rId2278" tooltip="🔗 Ver Mapa" display="🔗 Ver Mapa" xr:uid="{00000000-0004-0000-0000-0000E5080000}"/>
    <hyperlink ref="L2294" r:id="rId2279" tooltip="🔗 Ver Mapa" display="🔗 Ver Mapa" xr:uid="{00000000-0004-0000-0000-0000E6080000}"/>
    <hyperlink ref="L2295" r:id="rId2280" tooltip="🔗 Ver Mapa" display="🔗 Ver Mapa" xr:uid="{00000000-0004-0000-0000-0000E7080000}"/>
    <hyperlink ref="L2296" r:id="rId2281" tooltip="🔗 Ver Mapa" display="🔗 Ver Mapa" xr:uid="{00000000-0004-0000-0000-0000E8080000}"/>
    <hyperlink ref="L2297" r:id="rId2282" tooltip="🔗 Ver Mapa" display="🔗 Ver Mapa" xr:uid="{00000000-0004-0000-0000-0000E9080000}"/>
    <hyperlink ref="L2298" r:id="rId2283" tooltip="🔗 Ver Mapa" display="🔗 Ver Mapa" xr:uid="{00000000-0004-0000-0000-0000EA080000}"/>
    <hyperlink ref="L2299" r:id="rId2284" tooltip="🔗 Ver Mapa" display="🔗 Ver Mapa" xr:uid="{00000000-0004-0000-0000-0000EB080000}"/>
    <hyperlink ref="L2300" r:id="rId2285" tooltip="🔗 Ver Mapa" display="🔗 Ver Mapa" xr:uid="{00000000-0004-0000-0000-0000EC080000}"/>
    <hyperlink ref="L2301" r:id="rId2286" tooltip="🔗 Ver Mapa" display="🔗 Ver Mapa" xr:uid="{00000000-0004-0000-0000-0000ED080000}"/>
    <hyperlink ref="L2302" r:id="rId2287" tooltip="🔗 Ver Mapa" display="🔗 Ver Mapa" xr:uid="{00000000-0004-0000-0000-0000EE080000}"/>
    <hyperlink ref="L2303" r:id="rId2288" tooltip="🔗 Ver Mapa" display="🔗 Ver Mapa" xr:uid="{00000000-0004-0000-0000-0000EF080000}"/>
    <hyperlink ref="L2304" r:id="rId2289" tooltip="🔗 Ver Mapa" display="🔗 Ver Mapa" xr:uid="{00000000-0004-0000-0000-0000F0080000}"/>
    <hyperlink ref="L2305" r:id="rId2290" tooltip="🔗 Ver Mapa" display="🔗 Ver Mapa" xr:uid="{00000000-0004-0000-0000-0000F1080000}"/>
    <hyperlink ref="L2306" r:id="rId2291" tooltip="🔗 Ver Mapa" display="🔗 Ver Mapa" xr:uid="{00000000-0004-0000-0000-0000F2080000}"/>
    <hyperlink ref="L2307" r:id="rId2292" tooltip="🔗 Ver Mapa" display="🔗 Ver Mapa" xr:uid="{00000000-0004-0000-0000-0000F3080000}"/>
    <hyperlink ref="L2308" r:id="rId2293" tooltip="🔗 Ver Mapa" display="🔗 Ver Mapa" xr:uid="{00000000-0004-0000-0000-0000F4080000}"/>
    <hyperlink ref="L2309" r:id="rId2294" tooltip="🔗 Ver Mapa" display="🔗 Ver Mapa" xr:uid="{00000000-0004-0000-0000-0000F5080000}"/>
    <hyperlink ref="L2310" r:id="rId2295" tooltip="🔗 Ver Mapa" display="🔗 Ver Mapa" xr:uid="{00000000-0004-0000-0000-0000F6080000}"/>
    <hyperlink ref="L2311" r:id="rId2296" tooltip="🔗 Ver Mapa" display="🔗 Ver Mapa" xr:uid="{00000000-0004-0000-0000-0000F7080000}"/>
    <hyperlink ref="L2312" r:id="rId2297" tooltip="🔗 Ver Mapa" display="🔗 Ver Mapa" xr:uid="{00000000-0004-0000-0000-0000F8080000}"/>
    <hyperlink ref="L2313" r:id="rId2298" tooltip="🔗 Ver Mapa" display="🔗 Ver Mapa" xr:uid="{00000000-0004-0000-0000-0000F9080000}"/>
    <hyperlink ref="L2314" r:id="rId2299" tooltip="🔗 Ver Mapa" display="🔗 Ver Mapa" xr:uid="{00000000-0004-0000-0000-0000FA080000}"/>
    <hyperlink ref="L2315" r:id="rId2300" tooltip="🔗 Ver Mapa" display="🔗 Ver Mapa" xr:uid="{00000000-0004-0000-0000-0000FB080000}"/>
    <hyperlink ref="L2316" r:id="rId2301" tooltip="🔗 Ver Mapa" display="🔗 Ver Mapa" xr:uid="{00000000-0004-0000-0000-0000FC080000}"/>
    <hyperlink ref="L2317" r:id="rId2302" tooltip="🔗 Ver Mapa" display="🔗 Ver Mapa" xr:uid="{00000000-0004-0000-0000-0000FD080000}"/>
    <hyperlink ref="L2318" r:id="rId2303" tooltip="🔗 Ver Mapa" display="🔗 Ver Mapa" xr:uid="{00000000-0004-0000-0000-0000FE080000}"/>
    <hyperlink ref="L2319" r:id="rId2304" tooltip="🔗 Ver Mapa" display="🔗 Ver Mapa" xr:uid="{00000000-0004-0000-0000-0000FF080000}"/>
    <hyperlink ref="L2320" r:id="rId2305" tooltip="🔗 Ver Mapa" display="🔗 Ver Mapa" xr:uid="{00000000-0004-0000-0000-000000090000}"/>
    <hyperlink ref="L2321" r:id="rId2306" tooltip="🔗 Ver Mapa" display="🔗 Ver Mapa" xr:uid="{00000000-0004-0000-0000-000001090000}"/>
    <hyperlink ref="L2322" r:id="rId2307" tooltip="🔗 Ver Mapa" display="🔗 Ver Mapa" xr:uid="{00000000-0004-0000-0000-000002090000}"/>
    <hyperlink ref="L2323" r:id="rId2308" tooltip="🔗 Ver Mapa" display="🔗 Ver Mapa" xr:uid="{00000000-0004-0000-0000-000003090000}"/>
    <hyperlink ref="L2324" r:id="rId2309" tooltip="🔗 Ver Mapa" display="🔗 Ver Mapa" xr:uid="{00000000-0004-0000-0000-000004090000}"/>
    <hyperlink ref="L2325" r:id="rId2310" tooltip="🔗 Ver Mapa" display="🔗 Ver Mapa" xr:uid="{00000000-0004-0000-0000-000005090000}"/>
    <hyperlink ref="L2326" r:id="rId2311" tooltip="🔗 Ver Mapa" display="🔗 Ver Mapa" xr:uid="{00000000-0004-0000-0000-000006090000}"/>
    <hyperlink ref="L2327" r:id="rId2312" tooltip="🔗 Ver Mapa" display="🔗 Ver Mapa" xr:uid="{00000000-0004-0000-0000-000007090000}"/>
    <hyperlink ref="L2328" r:id="rId2313" tooltip="🔗 Ver Mapa" display="🔗 Ver Mapa" xr:uid="{00000000-0004-0000-0000-000008090000}"/>
    <hyperlink ref="L2329" r:id="rId2314" tooltip="🔗 Ver Mapa" display="🔗 Ver Mapa" xr:uid="{00000000-0004-0000-0000-000009090000}"/>
    <hyperlink ref="L2330" r:id="rId2315" tooltip="🔗 Ver Mapa" display="🔗 Ver Mapa" xr:uid="{00000000-0004-0000-0000-00000A090000}"/>
    <hyperlink ref="L2331" r:id="rId2316" tooltip="🔗 Ver Mapa" display="🔗 Ver Mapa" xr:uid="{00000000-0004-0000-0000-00000B090000}"/>
    <hyperlink ref="L2332" r:id="rId2317" tooltip="🔗 Ver Mapa" display="🔗 Ver Mapa" xr:uid="{00000000-0004-0000-0000-00000C090000}"/>
    <hyperlink ref="L2333" r:id="rId2318" tooltip="🔗 Ver Mapa" display="🔗 Ver Mapa" xr:uid="{00000000-0004-0000-0000-00000D090000}"/>
    <hyperlink ref="L2334" r:id="rId2319" tooltip="🔗 Ver Mapa" display="🔗 Ver Mapa" xr:uid="{00000000-0004-0000-0000-00000E090000}"/>
    <hyperlink ref="L2335" r:id="rId2320" tooltip="🔗 Ver Mapa" display="🔗 Ver Mapa" xr:uid="{00000000-0004-0000-0000-00000F090000}"/>
    <hyperlink ref="L2336" r:id="rId2321" tooltip="🔗 Ver Mapa" display="🔗 Ver Mapa" xr:uid="{00000000-0004-0000-0000-000010090000}"/>
    <hyperlink ref="L2337" r:id="rId2322" tooltip="🔗 Ver Mapa" display="🔗 Ver Mapa" xr:uid="{00000000-0004-0000-0000-000011090000}"/>
    <hyperlink ref="L2338" r:id="rId2323" tooltip="🔗 Ver Mapa" display="🔗 Ver Mapa" xr:uid="{00000000-0004-0000-0000-000012090000}"/>
    <hyperlink ref="L2339" r:id="rId2324" tooltip="🔗 Ver Mapa" display="🔗 Ver Mapa" xr:uid="{00000000-0004-0000-0000-000013090000}"/>
    <hyperlink ref="L2340" r:id="rId2325" tooltip="🔗 Ver Mapa" display="🔗 Ver Mapa" xr:uid="{00000000-0004-0000-0000-000014090000}"/>
    <hyperlink ref="L2341" r:id="rId2326" tooltip="🔗 Ver Mapa" display="🔗 Ver Mapa" xr:uid="{00000000-0004-0000-0000-000015090000}"/>
    <hyperlink ref="L2342" r:id="rId2327" tooltip="🔗 Ver Mapa" display="🔗 Ver Mapa" xr:uid="{00000000-0004-0000-0000-000016090000}"/>
    <hyperlink ref="L2343" r:id="rId2328" tooltip="🔗 Ver Mapa" display="🔗 Ver Mapa" xr:uid="{00000000-0004-0000-0000-000017090000}"/>
    <hyperlink ref="L2344" r:id="rId2329" tooltip="🔗 Ver Mapa" display="🔗 Ver Mapa" xr:uid="{00000000-0004-0000-0000-000018090000}"/>
    <hyperlink ref="L2345" r:id="rId2330" tooltip="🔗 Ver Mapa" display="🔗 Ver Mapa" xr:uid="{00000000-0004-0000-0000-000019090000}"/>
    <hyperlink ref="L2346" r:id="rId2331" tooltip="🔗 Ver Mapa" display="🔗 Ver Mapa" xr:uid="{00000000-0004-0000-0000-00001A090000}"/>
    <hyperlink ref="L2347" r:id="rId2332" tooltip="🔗 Ver Mapa" display="🔗 Ver Mapa" xr:uid="{00000000-0004-0000-0000-00001B090000}"/>
    <hyperlink ref="L2348" r:id="rId2333" tooltip="🔗 Ver Mapa" display="🔗 Ver Mapa" xr:uid="{00000000-0004-0000-0000-00001C090000}"/>
    <hyperlink ref="L2349" r:id="rId2334" tooltip="🔗 Ver Mapa" display="🔗 Ver Mapa" xr:uid="{00000000-0004-0000-0000-00001D090000}"/>
    <hyperlink ref="L2350" r:id="rId2335" tooltip="🔗 Ver Mapa" display="🔗 Ver Mapa" xr:uid="{00000000-0004-0000-0000-00001E090000}"/>
    <hyperlink ref="L2351" r:id="rId2336" tooltip="🔗 Ver Mapa" display="🔗 Ver Mapa" xr:uid="{00000000-0004-0000-0000-00001F090000}"/>
    <hyperlink ref="L2352" r:id="rId2337" tooltip="🔗 Ver Mapa" display="🔗 Ver Mapa" xr:uid="{00000000-0004-0000-0000-000020090000}"/>
    <hyperlink ref="L2353" r:id="rId2338" tooltip="🔗 Ver Mapa" display="🔗 Ver Mapa" xr:uid="{00000000-0004-0000-0000-000021090000}"/>
    <hyperlink ref="L2354" r:id="rId2339" tooltip="🔗 Ver Mapa" display="🔗 Ver Mapa" xr:uid="{00000000-0004-0000-0000-000022090000}"/>
    <hyperlink ref="L2355" r:id="rId2340" tooltip="🔗 Ver Mapa" display="🔗 Ver Mapa" xr:uid="{00000000-0004-0000-0000-000023090000}"/>
    <hyperlink ref="L2356" r:id="rId2341" tooltip="🔗 Ver Mapa" display="🔗 Ver Mapa" xr:uid="{00000000-0004-0000-0000-000024090000}"/>
    <hyperlink ref="L2357" r:id="rId2342" tooltip="🔗 Ver Mapa" display="🔗 Ver Mapa" xr:uid="{00000000-0004-0000-0000-000025090000}"/>
    <hyperlink ref="L2358" r:id="rId2343" tooltip="🔗 Ver Mapa" display="🔗 Ver Mapa" xr:uid="{00000000-0004-0000-0000-000026090000}"/>
    <hyperlink ref="L2359" r:id="rId2344" tooltip="🔗 Ver Mapa" display="🔗 Ver Mapa" xr:uid="{00000000-0004-0000-0000-000027090000}"/>
    <hyperlink ref="L2360" r:id="rId2345" tooltip="🔗 Ver Mapa" display="🔗 Ver Mapa" xr:uid="{00000000-0004-0000-0000-000028090000}"/>
    <hyperlink ref="L2361" r:id="rId2346" tooltip="🔗 Ver Mapa" display="🔗 Ver Mapa" xr:uid="{00000000-0004-0000-0000-000029090000}"/>
    <hyperlink ref="L2362" r:id="rId2347" tooltip="🔗 Ver Mapa" display="🔗 Ver Mapa" xr:uid="{00000000-0004-0000-0000-00002A090000}"/>
    <hyperlink ref="L2363" r:id="rId2348" tooltip="🔗 Ver Mapa" display="🔗 Ver Mapa" xr:uid="{00000000-0004-0000-0000-00002B090000}"/>
    <hyperlink ref="L2364" r:id="rId2349" tooltip="🔗 Ver Mapa" display="🔗 Ver Mapa" xr:uid="{00000000-0004-0000-0000-00002C090000}"/>
    <hyperlink ref="L2365" r:id="rId2350" tooltip="🔗 Ver Mapa" display="🔗 Ver Mapa" xr:uid="{00000000-0004-0000-0000-00002D090000}"/>
    <hyperlink ref="L2366" r:id="rId2351" tooltip="🔗 Ver Mapa" display="🔗 Ver Mapa" xr:uid="{00000000-0004-0000-0000-00002E090000}"/>
    <hyperlink ref="L2367" r:id="rId2352" tooltip="🔗 Ver Mapa" display="🔗 Ver Mapa" xr:uid="{00000000-0004-0000-0000-00002F090000}"/>
    <hyperlink ref="L2368" r:id="rId2353" tooltip="🔗 Ver Mapa" display="🔗 Ver Mapa" xr:uid="{00000000-0004-0000-0000-000030090000}"/>
    <hyperlink ref="L2369" r:id="rId2354" tooltip="🔗 Ver Mapa" display="🔗 Ver Mapa" xr:uid="{00000000-0004-0000-0000-000031090000}"/>
    <hyperlink ref="L2370" r:id="rId2355" tooltip="🔗 Ver Mapa" display="🔗 Ver Mapa" xr:uid="{00000000-0004-0000-0000-000032090000}"/>
    <hyperlink ref="L2371" r:id="rId2356" tooltip="🔗 Ver Mapa" display="🔗 Ver Mapa" xr:uid="{00000000-0004-0000-0000-000033090000}"/>
    <hyperlink ref="L2372" r:id="rId2357" tooltip="🔗 Ver Mapa" display="🔗 Ver Mapa" xr:uid="{00000000-0004-0000-0000-000034090000}"/>
    <hyperlink ref="L2373" r:id="rId2358" tooltip="🔗 Ver Mapa" display="🔗 Ver Mapa" xr:uid="{00000000-0004-0000-0000-000035090000}"/>
    <hyperlink ref="L2374" r:id="rId2359" tooltip="🔗 Ver Mapa" display="🔗 Ver Mapa" xr:uid="{00000000-0004-0000-0000-000036090000}"/>
    <hyperlink ref="L2375" r:id="rId2360" tooltip="🔗 Ver Mapa" display="🔗 Ver Mapa" xr:uid="{00000000-0004-0000-0000-000037090000}"/>
    <hyperlink ref="L2376" r:id="rId2361" tooltip="🔗 Ver Mapa" display="🔗 Ver Mapa" xr:uid="{00000000-0004-0000-0000-000038090000}"/>
    <hyperlink ref="L2377" r:id="rId2362" tooltip="🔗 Ver Mapa" display="🔗 Ver Mapa" xr:uid="{00000000-0004-0000-0000-000039090000}"/>
    <hyperlink ref="L2378" r:id="rId2363" tooltip="🔗 Ver Mapa" display="🔗 Ver Mapa" xr:uid="{00000000-0004-0000-0000-00003A090000}"/>
    <hyperlink ref="L2379" r:id="rId2364" tooltip="🔗 Ver Mapa" display="🔗 Ver Mapa" xr:uid="{00000000-0004-0000-0000-00003B090000}"/>
    <hyperlink ref="L2380" r:id="rId2365" tooltip="🔗 Ver Mapa" display="🔗 Ver Mapa" xr:uid="{00000000-0004-0000-0000-00003C090000}"/>
    <hyperlink ref="L2381" r:id="rId2366" tooltip="🔗 Ver Mapa" display="🔗 Ver Mapa" xr:uid="{00000000-0004-0000-0000-00003D090000}"/>
    <hyperlink ref="L2382" r:id="rId2367" tooltip="🔗 Ver Mapa" display="🔗 Ver Mapa" xr:uid="{00000000-0004-0000-0000-00003E090000}"/>
    <hyperlink ref="L2383" r:id="rId2368" tooltip="🔗 Ver Mapa" display="🔗 Ver Mapa" xr:uid="{00000000-0004-0000-0000-00003F090000}"/>
    <hyperlink ref="L2384" r:id="rId2369" tooltip="🔗 Ver Mapa" display="🔗 Ver Mapa" xr:uid="{00000000-0004-0000-0000-000040090000}"/>
    <hyperlink ref="L2385" r:id="rId2370" tooltip="🔗 Ver Mapa" display="🔗 Ver Mapa" xr:uid="{00000000-0004-0000-0000-000041090000}"/>
    <hyperlink ref="L2386" r:id="rId2371" tooltip="🔗 Ver Mapa" display="🔗 Ver Mapa" xr:uid="{00000000-0004-0000-0000-000042090000}"/>
    <hyperlink ref="L2387" r:id="rId2372" tooltip="🔗 Ver Mapa" display="🔗 Ver Mapa" xr:uid="{00000000-0004-0000-0000-000043090000}"/>
    <hyperlink ref="L2388" r:id="rId2373" tooltip="🔗 Ver Mapa" display="🔗 Ver Mapa" xr:uid="{00000000-0004-0000-0000-000044090000}"/>
    <hyperlink ref="L2389" r:id="rId2374" tooltip="🔗 Ver Mapa" display="🔗 Ver Mapa" xr:uid="{00000000-0004-0000-0000-000045090000}"/>
    <hyperlink ref="L2390" r:id="rId2375" tooltip="🔗 Ver Mapa" display="🔗 Ver Mapa" xr:uid="{00000000-0004-0000-0000-000046090000}"/>
    <hyperlink ref="L2391" r:id="rId2376" tooltip="🔗 Ver Mapa" display="🔗 Ver Mapa" xr:uid="{00000000-0004-0000-0000-000047090000}"/>
    <hyperlink ref="L2392" r:id="rId2377" tooltip="🔗 Ver Mapa" display="🔗 Ver Mapa" xr:uid="{00000000-0004-0000-0000-000048090000}"/>
    <hyperlink ref="L2393" r:id="rId2378" tooltip="🔗 Ver Mapa" display="🔗 Ver Mapa" xr:uid="{00000000-0004-0000-0000-000049090000}"/>
    <hyperlink ref="L2394" r:id="rId2379" tooltip="🔗 Ver Mapa" display="🔗 Ver Mapa" xr:uid="{00000000-0004-0000-0000-00004A090000}"/>
    <hyperlink ref="L2395" r:id="rId2380" tooltip="🔗 Ver Mapa" display="🔗 Ver Mapa" xr:uid="{00000000-0004-0000-0000-00004B090000}"/>
    <hyperlink ref="L2396" r:id="rId2381" tooltip="🔗 Ver Mapa" display="🔗 Ver Mapa" xr:uid="{00000000-0004-0000-0000-00004C090000}"/>
    <hyperlink ref="L2397" r:id="rId2382" tooltip="🔗 Ver Mapa" display="🔗 Ver Mapa" xr:uid="{00000000-0004-0000-0000-00004D090000}"/>
    <hyperlink ref="L2398" r:id="rId2383" tooltip="🔗 Ver Mapa" display="🔗 Ver Mapa" xr:uid="{00000000-0004-0000-0000-00004E090000}"/>
    <hyperlink ref="L2399" r:id="rId2384" tooltip="🔗 Ver Mapa" display="🔗 Ver Mapa" xr:uid="{00000000-0004-0000-0000-00004F090000}"/>
    <hyperlink ref="L2400" r:id="rId2385" tooltip="🔗 Ver Mapa" display="🔗 Ver Mapa" xr:uid="{00000000-0004-0000-0000-000050090000}"/>
    <hyperlink ref="L2401" r:id="rId2386" tooltip="🔗 Ver Mapa" display="🔗 Ver Mapa" xr:uid="{00000000-0004-0000-0000-000051090000}"/>
    <hyperlink ref="L2402" r:id="rId2387" tooltip="🔗 Ver Mapa" display="🔗 Ver Mapa" xr:uid="{00000000-0004-0000-0000-000052090000}"/>
    <hyperlink ref="L2403" r:id="rId2388" tooltip="🔗 Ver Mapa" display="🔗 Ver Mapa" xr:uid="{00000000-0004-0000-0000-000053090000}"/>
    <hyperlink ref="L2404" r:id="rId2389" tooltip="🔗 Ver Mapa" display="🔗 Ver Mapa" xr:uid="{00000000-0004-0000-0000-000054090000}"/>
    <hyperlink ref="L2405" r:id="rId2390" tooltip="🔗 Ver Mapa" display="🔗 Ver Mapa" xr:uid="{00000000-0004-0000-0000-000055090000}"/>
    <hyperlink ref="L2406" r:id="rId2391" tooltip="🔗 Ver Mapa" display="🔗 Ver Mapa" xr:uid="{00000000-0004-0000-0000-000056090000}"/>
    <hyperlink ref="L2407" r:id="rId2392" tooltip="🔗 Ver Mapa" display="🔗 Ver Mapa" xr:uid="{00000000-0004-0000-0000-000057090000}"/>
    <hyperlink ref="L2408" r:id="rId2393" tooltip="🔗 Ver Mapa" display="🔗 Ver Mapa" xr:uid="{00000000-0004-0000-0000-000058090000}"/>
    <hyperlink ref="L2409" r:id="rId2394" tooltip="🔗 Ver Mapa" display="🔗 Ver Mapa" xr:uid="{00000000-0004-0000-0000-000059090000}"/>
    <hyperlink ref="L2410" r:id="rId2395" tooltip="🔗 Ver Mapa" display="🔗 Ver Mapa" xr:uid="{00000000-0004-0000-0000-00005A090000}"/>
    <hyperlink ref="L2411" r:id="rId2396" tooltip="🔗 Ver Mapa" display="🔗 Ver Mapa" xr:uid="{00000000-0004-0000-0000-00005B090000}"/>
    <hyperlink ref="L2412" r:id="rId2397" tooltip="🔗 Ver Mapa" display="🔗 Ver Mapa" xr:uid="{00000000-0004-0000-0000-00005C090000}"/>
    <hyperlink ref="L2413" r:id="rId2398" tooltip="🔗 Ver Mapa" display="🔗 Ver Mapa" xr:uid="{00000000-0004-0000-0000-00005D090000}"/>
    <hyperlink ref="L2414" r:id="rId2399" tooltip="🔗 Ver Mapa" display="🔗 Ver Mapa" xr:uid="{00000000-0004-0000-0000-00005E090000}"/>
    <hyperlink ref="L2415" r:id="rId2400" tooltip="🔗 Ver Mapa" display="🔗 Ver Mapa" xr:uid="{00000000-0004-0000-0000-00005F090000}"/>
    <hyperlink ref="L2416" r:id="rId2401" tooltip="🔗 Ver Mapa" display="🔗 Ver Mapa" xr:uid="{00000000-0004-0000-0000-000060090000}"/>
    <hyperlink ref="L2417" r:id="rId2402" tooltip="🔗 Ver Mapa" display="🔗 Ver Mapa" xr:uid="{00000000-0004-0000-0000-000061090000}"/>
    <hyperlink ref="L2418" r:id="rId2403" tooltip="🔗 Ver Mapa" display="🔗 Ver Mapa" xr:uid="{00000000-0004-0000-0000-000062090000}"/>
    <hyperlink ref="L2419" r:id="rId2404" tooltip="🔗 Ver Mapa" display="🔗 Ver Mapa" xr:uid="{00000000-0004-0000-0000-000063090000}"/>
    <hyperlink ref="L2420" r:id="rId2405" tooltip="🔗 Ver Mapa" display="🔗 Ver Mapa" xr:uid="{00000000-0004-0000-0000-000064090000}"/>
    <hyperlink ref="L2421" r:id="rId2406" tooltip="🔗 Ver Mapa" display="🔗 Ver Mapa" xr:uid="{00000000-0004-0000-0000-000065090000}"/>
    <hyperlink ref="L2422" r:id="rId2407" tooltip="🔗 Ver Mapa" display="🔗 Ver Mapa" xr:uid="{00000000-0004-0000-0000-000066090000}"/>
    <hyperlink ref="L2423" r:id="rId2408" tooltip="🔗 Ver Mapa" display="🔗 Ver Mapa" xr:uid="{00000000-0004-0000-0000-000067090000}"/>
    <hyperlink ref="L2424" r:id="rId2409" tooltip="🔗 Ver Mapa" display="🔗 Ver Mapa" xr:uid="{00000000-0004-0000-0000-000068090000}"/>
    <hyperlink ref="L2425" r:id="rId2410" tooltip="🔗 Ver Mapa" display="🔗 Ver Mapa" xr:uid="{00000000-0004-0000-0000-000069090000}"/>
    <hyperlink ref="L2426" r:id="rId2411" tooltip="🔗 Ver Mapa" display="🔗 Ver Mapa" xr:uid="{00000000-0004-0000-0000-00006A090000}"/>
    <hyperlink ref="L2427" r:id="rId2412" tooltip="🔗 Ver Mapa" display="🔗 Ver Mapa" xr:uid="{00000000-0004-0000-0000-00006B090000}"/>
    <hyperlink ref="L2428" r:id="rId2413" tooltip="🔗 Ver Mapa" display="🔗 Ver Mapa" xr:uid="{00000000-0004-0000-0000-00006C090000}"/>
    <hyperlink ref="L2429" r:id="rId2414" tooltip="🔗 Ver Mapa" display="🔗 Ver Mapa" xr:uid="{00000000-0004-0000-0000-00006D090000}"/>
    <hyperlink ref="L2430" r:id="rId2415" tooltip="🔗 Ver Mapa" display="🔗 Ver Mapa" xr:uid="{00000000-0004-0000-0000-00006E090000}"/>
    <hyperlink ref="L2431" r:id="rId2416" tooltip="🔗 Ver Mapa" display="🔗 Ver Mapa" xr:uid="{00000000-0004-0000-0000-00006F090000}"/>
    <hyperlink ref="L2432" r:id="rId2417" tooltip="🔗 Ver Mapa" display="🔗 Ver Mapa" xr:uid="{00000000-0004-0000-0000-000070090000}"/>
    <hyperlink ref="L2433" r:id="rId2418" tooltip="🔗 Ver Mapa" display="🔗 Ver Mapa" xr:uid="{00000000-0004-0000-0000-000071090000}"/>
    <hyperlink ref="L2434" r:id="rId2419" tooltip="🔗 Ver Mapa" display="🔗 Ver Mapa" xr:uid="{00000000-0004-0000-0000-000072090000}"/>
    <hyperlink ref="L2435" r:id="rId2420" tooltip="🔗 Ver Mapa" display="🔗 Ver Mapa" xr:uid="{00000000-0004-0000-0000-000073090000}"/>
    <hyperlink ref="L2436" r:id="rId2421" tooltip="🔗 Ver Mapa" display="🔗 Ver Mapa" xr:uid="{00000000-0004-0000-0000-000074090000}"/>
    <hyperlink ref="L2437" r:id="rId2422" tooltip="🔗 Ver Mapa" display="🔗 Ver Mapa" xr:uid="{00000000-0004-0000-0000-000075090000}"/>
    <hyperlink ref="L2438" r:id="rId2423" tooltip="🔗 Ver Mapa" display="🔗 Ver Mapa" xr:uid="{00000000-0004-0000-0000-000076090000}"/>
    <hyperlink ref="L2439" r:id="rId2424" tooltip="🔗 Ver Mapa" display="🔗 Ver Mapa" xr:uid="{00000000-0004-0000-0000-000077090000}"/>
    <hyperlink ref="L2440" r:id="rId2425" tooltip="🔗 Ver Mapa" display="🔗 Ver Mapa" xr:uid="{00000000-0004-0000-0000-000078090000}"/>
    <hyperlink ref="L2441" r:id="rId2426" tooltip="🔗 Ver Mapa" display="🔗 Ver Mapa" xr:uid="{00000000-0004-0000-0000-000079090000}"/>
    <hyperlink ref="L2442" r:id="rId2427" tooltip="🔗 Ver Mapa" display="🔗 Ver Mapa" xr:uid="{00000000-0004-0000-0000-00007A090000}"/>
    <hyperlink ref="L2443" r:id="rId2428" tooltip="🔗 Ver Mapa" display="🔗 Ver Mapa" xr:uid="{00000000-0004-0000-0000-00007B090000}"/>
    <hyperlink ref="L2444" r:id="rId2429" tooltip="🔗 Ver Mapa" display="🔗 Ver Mapa" xr:uid="{00000000-0004-0000-0000-00007C090000}"/>
    <hyperlink ref="L2445" r:id="rId2430" tooltip="🔗 Ver Mapa" display="🔗 Ver Mapa" xr:uid="{00000000-0004-0000-0000-00007D090000}"/>
    <hyperlink ref="L2446" r:id="rId2431" tooltip="🔗 Ver Mapa" display="🔗 Ver Mapa" xr:uid="{00000000-0004-0000-0000-00007E090000}"/>
    <hyperlink ref="L2447" r:id="rId2432" tooltip="🔗 Ver Mapa" display="🔗 Ver Mapa" xr:uid="{00000000-0004-0000-0000-00007F090000}"/>
    <hyperlink ref="L2448" r:id="rId2433" tooltip="🔗 Ver Mapa" display="🔗 Ver Mapa" xr:uid="{00000000-0004-0000-0000-000080090000}"/>
    <hyperlink ref="L2449" r:id="rId2434" tooltip="🔗 Ver Mapa" display="🔗 Ver Mapa" xr:uid="{00000000-0004-0000-0000-000081090000}"/>
    <hyperlink ref="L2450" r:id="rId2435" tooltip="🔗 Ver Mapa" display="🔗 Ver Mapa" xr:uid="{00000000-0004-0000-0000-000082090000}"/>
    <hyperlink ref="L2451" r:id="rId2436" tooltip="🔗 Ver Mapa" display="🔗 Ver Mapa" xr:uid="{00000000-0004-0000-0000-000083090000}"/>
    <hyperlink ref="L2452" r:id="rId2437" tooltip="🔗 Ver Mapa" display="🔗 Ver Mapa" xr:uid="{00000000-0004-0000-0000-000084090000}"/>
    <hyperlink ref="L2453" r:id="rId2438" tooltip="🔗 Ver Mapa" display="🔗 Ver Mapa" xr:uid="{00000000-0004-0000-0000-000085090000}"/>
    <hyperlink ref="L2454" r:id="rId2439" tooltip="🔗 Ver Mapa" display="🔗 Ver Mapa" xr:uid="{00000000-0004-0000-0000-000086090000}"/>
    <hyperlink ref="L2455" r:id="rId2440" tooltip="🔗 Ver Mapa" display="🔗 Ver Mapa" xr:uid="{00000000-0004-0000-0000-000087090000}"/>
    <hyperlink ref="L2456" r:id="rId2441" tooltip="🔗 Ver Mapa" display="🔗 Ver Mapa" xr:uid="{00000000-0004-0000-0000-000088090000}"/>
    <hyperlink ref="L2457" r:id="rId2442" tooltip="🔗 Ver Mapa" display="🔗 Ver Mapa" xr:uid="{00000000-0004-0000-0000-000089090000}"/>
    <hyperlink ref="L2458" r:id="rId2443" tooltip="🔗 Ver Mapa" display="🔗 Ver Mapa" xr:uid="{00000000-0004-0000-0000-00008A090000}"/>
    <hyperlink ref="L2459" r:id="rId2444" tooltip="🔗 Ver Mapa" display="🔗 Ver Mapa" xr:uid="{00000000-0004-0000-0000-00008B090000}"/>
    <hyperlink ref="L2460" r:id="rId2445" tooltip="🔗 Ver Mapa" display="🔗 Ver Mapa" xr:uid="{00000000-0004-0000-0000-00008C090000}"/>
    <hyperlink ref="L2461" r:id="rId2446" tooltip="🔗 Ver Mapa" display="🔗 Ver Mapa" xr:uid="{00000000-0004-0000-0000-00008D090000}"/>
    <hyperlink ref="L2462" r:id="rId2447" tooltip="🔗 Ver Mapa" display="🔗 Ver Mapa" xr:uid="{00000000-0004-0000-0000-00008E090000}"/>
    <hyperlink ref="L2463" r:id="rId2448" tooltip="🔗 Ver Mapa" display="🔗 Ver Mapa" xr:uid="{00000000-0004-0000-0000-00008F090000}"/>
    <hyperlink ref="L2464" r:id="rId2449" tooltip="🔗 Ver Mapa" display="🔗 Ver Mapa" xr:uid="{00000000-0004-0000-0000-000090090000}"/>
    <hyperlink ref="L2465" r:id="rId2450" tooltip="🔗 Ver Mapa" display="🔗 Ver Mapa" xr:uid="{00000000-0004-0000-0000-000091090000}"/>
    <hyperlink ref="L2466" r:id="rId2451" tooltip="🔗 Ver Mapa" display="🔗 Ver Mapa" xr:uid="{00000000-0004-0000-0000-000092090000}"/>
    <hyperlink ref="L2467" r:id="rId2452" tooltip="🔗 Ver Mapa" display="🔗 Ver Mapa" xr:uid="{00000000-0004-0000-0000-000093090000}"/>
    <hyperlink ref="L2468" r:id="rId2453" tooltip="🔗 Ver Mapa" display="🔗 Ver Mapa" xr:uid="{00000000-0004-0000-0000-000094090000}"/>
    <hyperlink ref="L2469" r:id="rId2454" tooltip="🔗 Ver Mapa" display="🔗 Ver Mapa" xr:uid="{00000000-0004-0000-0000-000095090000}"/>
    <hyperlink ref="L2470" r:id="rId2455" tooltip="🔗 Ver Mapa" display="🔗 Ver Mapa" xr:uid="{00000000-0004-0000-0000-000096090000}"/>
    <hyperlink ref="L2471" r:id="rId2456" tooltip="🔗 Ver Mapa" display="🔗 Ver Mapa" xr:uid="{00000000-0004-0000-0000-000097090000}"/>
    <hyperlink ref="L2472" r:id="rId2457" tooltip="🔗 Ver Mapa" display="🔗 Ver Mapa" xr:uid="{00000000-0004-0000-0000-000098090000}"/>
    <hyperlink ref="L2473" r:id="rId2458" tooltip="🔗 Ver Mapa" display="🔗 Ver Mapa" xr:uid="{00000000-0004-0000-0000-000099090000}"/>
    <hyperlink ref="L2474" r:id="rId2459" tooltip="🔗 Ver Mapa" display="🔗 Ver Mapa" xr:uid="{00000000-0004-0000-0000-00009A090000}"/>
    <hyperlink ref="L2475" r:id="rId2460" tooltip="🔗 Ver Mapa" display="🔗 Ver Mapa" xr:uid="{00000000-0004-0000-0000-00009B090000}"/>
    <hyperlink ref="L2476" r:id="rId2461" tooltip="🔗 Ver Mapa" display="🔗 Ver Mapa" xr:uid="{00000000-0004-0000-0000-00009C090000}"/>
    <hyperlink ref="L2477" r:id="rId2462" tooltip="🔗 Ver Mapa" display="🔗 Ver Mapa" xr:uid="{00000000-0004-0000-0000-00009D090000}"/>
    <hyperlink ref="L2478" r:id="rId2463" tooltip="🔗 Ver Mapa" display="🔗 Ver Mapa" xr:uid="{00000000-0004-0000-0000-00009E090000}"/>
    <hyperlink ref="L2479" r:id="rId2464" tooltip="🔗 Ver Mapa" display="🔗 Ver Mapa" xr:uid="{00000000-0004-0000-0000-00009F090000}"/>
    <hyperlink ref="L2480" r:id="rId2465" tooltip="🔗 Ver Mapa" display="🔗 Ver Mapa" xr:uid="{00000000-0004-0000-0000-0000A0090000}"/>
    <hyperlink ref="L2481" r:id="rId2466" tooltip="🔗 Ver Mapa" display="🔗 Ver Mapa" xr:uid="{00000000-0004-0000-0000-0000A1090000}"/>
    <hyperlink ref="L2482" r:id="rId2467" tooltip="🔗 Ver Mapa" display="🔗 Ver Mapa" xr:uid="{00000000-0004-0000-0000-0000A2090000}"/>
    <hyperlink ref="L2483" r:id="rId2468" tooltip="🔗 Ver Mapa" display="🔗 Ver Mapa" xr:uid="{00000000-0004-0000-0000-0000A3090000}"/>
    <hyperlink ref="L2484" r:id="rId2469" tooltip="🔗 Ver Mapa" display="🔗 Ver Mapa" xr:uid="{00000000-0004-0000-0000-0000A4090000}"/>
    <hyperlink ref="L2485" r:id="rId2470" tooltip="🔗 Ver Mapa" display="🔗 Ver Mapa" xr:uid="{00000000-0004-0000-0000-0000A5090000}"/>
    <hyperlink ref="L2486" r:id="rId2471" tooltip="🔗 Ver Mapa" display="🔗 Ver Mapa" xr:uid="{00000000-0004-0000-0000-0000A6090000}"/>
    <hyperlink ref="L2487" r:id="rId2472" tooltip="🔗 Ver Mapa" display="🔗 Ver Mapa" xr:uid="{00000000-0004-0000-0000-0000A7090000}"/>
    <hyperlink ref="L2488" r:id="rId2473" tooltip="🔗 Ver Mapa" display="🔗 Ver Mapa" xr:uid="{00000000-0004-0000-0000-0000A8090000}"/>
    <hyperlink ref="L2489" r:id="rId2474" tooltip="🔗 Ver Mapa" display="🔗 Ver Mapa" xr:uid="{00000000-0004-0000-0000-0000A9090000}"/>
    <hyperlink ref="L2490" r:id="rId2475" tooltip="🔗 Ver Mapa" display="🔗 Ver Mapa" xr:uid="{00000000-0004-0000-0000-0000AA090000}"/>
    <hyperlink ref="L2491" r:id="rId2476" tooltip="🔗 Ver Mapa" display="🔗 Ver Mapa" xr:uid="{00000000-0004-0000-0000-0000AB090000}"/>
    <hyperlink ref="L2492" r:id="rId2477" tooltip="🔗 Ver Mapa" display="🔗 Ver Mapa" xr:uid="{00000000-0004-0000-0000-0000AC090000}"/>
    <hyperlink ref="L2493" r:id="rId2478" tooltip="🔗 Ver Mapa" display="🔗 Ver Mapa" xr:uid="{00000000-0004-0000-0000-0000AD090000}"/>
    <hyperlink ref="L2494" r:id="rId2479" tooltip="🔗 Ver Mapa" display="🔗 Ver Mapa" xr:uid="{00000000-0004-0000-0000-0000AE090000}"/>
    <hyperlink ref="L2495" r:id="rId2480" tooltip="🔗 Ver Mapa" display="🔗 Ver Mapa" xr:uid="{00000000-0004-0000-0000-0000AF090000}"/>
    <hyperlink ref="L2496" r:id="rId2481" tooltip="🔗 Ver Mapa" display="🔗 Ver Mapa" xr:uid="{00000000-0004-0000-0000-0000B0090000}"/>
    <hyperlink ref="L2497" r:id="rId2482" tooltip="🔗 Ver Mapa" display="🔗 Ver Mapa" xr:uid="{00000000-0004-0000-0000-0000B1090000}"/>
    <hyperlink ref="L2498" r:id="rId2483" tooltip="🔗 Ver Mapa" display="🔗 Ver Mapa" xr:uid="{00000000-0004-0000-0000-0000B2090000}"/>
    <hyperlink ref="L2499" r:id="rId2484" tooltip="🔗 Ver Mapa" display="🔗 Ver Mapa" xr:uid="{00000000-0004-0000-0000-0000B3090000}"/>
    <hyperlink ref="L2500" r:id="rId2485" tooltip="🔗 Ver Mapa" display="🔗 Ver Mapa" xr:uid="{00000000-0004-0000-0000-0000B4090000}"/>
    <hyperlink ref="L2501" r:id="rId2486" tooltip="🔗 Ver Mapa" display="🔗 Ver Mapa" xr:uid="{00000000-0004-0000-0000-0000B5090000}"/>
    <hyperlink ref="L2502" r:id="rId2487" tooltip="🔗 Ver Mapa" display="🔗 Ver Mapa" xr:uid="{00000000-0004-0000-0000-0000B6090000}"/>
    <hyperlink ref="L2503" r:id="rId2488" tooltip="🔗 Ver Mapa" display="🔗 Ver Mapa" xr:uid="{00000000-0004-0000-0000-0000B7090000}"/>
    <hyperlink ref="L2504" r:id="rId2489" tooltip="🔗 Ver Mapa" display="🔗 Ver Mapa" xr:uid="{00000000-0004-0000-0000-0000B8090000}"/>
    <hyperlink ref="L2505" r:id="rId2490" tooltip="🔗 Ver Mapa" display="🔗 Ver Mapa" xr:uid="{00000000-0004-0000-0000-0000B9090000}"/>
    <hyperlink ref="L2506" r:id="rId2491" tooltip="🔗 Ver Mapa" display="🔗 Ver Mapa" xr:uid="{00000000-0004-0000-0000-0000BA090000}"/>
    <hyperlink ref="L2507" r:id="rId2492" tooltip="🔗 Ver Mapa" display="🔗 Ver Mapa" xr:uid="{00000000-0004-0000-0000-0000BB090000}"/>
    <hyperlink ref="L2508" r:id="rId2493" tooltip="🔗 Ver Mapa" display="🔗 Ver Mapa" xr:uid="{00000000-0004-0000-0000-0000BC090000}"/>
    <hyperlink ref="L2509" r:id="rId2494" tooltip="🔗 Ver Mapa" display="🔗 Ver Mapa" xr:uid="{00000000-0004-0000-0000-0000BD090000}"/>
    <hyperlink ref="L2510" r:id="rId2495" tooltip="🔗 Ver Mapa" display="🔗 Ver Mapa" xr:uid="{00000000-0004-0000-0000-0000BE090000}"/>
    <hyperlink ref="L2511" r:id="rId2496" tooltip="🔗 Ver Mapa" display="🔗 Ver Mapa" xr:uid="{00000000-0004-0000-0000-0000BF090000}"/>
    <hyperlink ref="L2512" r:id="rId2497" tooltip="🔗 Ver Mapa" display="🔗 Ver Mapa" xr:uid="{00000000-0004-0000-0000-0000C0090000}"/>
    <hyperlink ref="L2513" r:id="rId2498" tooltip="🔗 Ver Mapa" display="🔗 Ver Mapa" xr:uid="{00000000-0004-0000-0000-0000C1090000}"/>
    <hyperlink ref="L2514" r:id="rId2499" tooltip="🔗 Ver Mapa" display="🔗 Ver Mapa" xr:uid="{00000000-0004-0000-0000-0000C2090000}"/>
    <hyperlink ref="L2515" r:id="rId2500" tooltip="🔗 Ver Mapa" display="🔗 Ver Mapa" xr:uid="{00000000-0004-0000-0000-0000C3090000}"/>
    <hyperlink ref="L2516" r:id="rId2501" tooltip="🔗 Ver Mapa" display="🔗 Ver Mapa" xr:uid="{00000000-0004-0000-0000-0000C4090000}"/>
    <hyperlink ref="L2517" r:id="rId2502" tooltip="🔗 Ver Mapa" display="🔗 Ver Mapa" xr:uid="{00000000-0004-0000-0000-0000C5090000}"/>
    <hyperlink ref="L2518" r:id="rId2503" tooltip="🔗 Ver Mapa" display="🔗 Ver Mapa" xr:uid="{00000000-0004-0000-0000-0000C6090000}"/>
    <hyperlink ref="L2519" r:id="rId2504" tooltip="🔗 Ver Mapa" display="🔗 Ver Mapa" xr:uid="{00000000-0004-0000-0000-0000C7090000}"/>
    <hyperlink ref="L2520" r:id="rId2505" tooltip="🔗 Ver Mapa" display="🔗 Ver Mapa" xr:uid="{00000000-0004-0000-0000-0000C8090000}"/>
    <hyperlink ref="L2521" r:id="rId2506" tooltip="🔗 Ver Mapa" display="🔗 Ver Mapa" xr:uid="{00000000-0004-0000-0000-0000C9090000}"/>
    <hyperlink ref="L2522" r:id="rId2507" tooltip="🔗 Ver Mapa" display="🔗 Ver Mapa" xr:uid="{00000000-0004-0000-0000-0000CA090000}"/>
    <hyperlink ref="L2523" r:id="rId2508" tooltip="🔗 Ver Mapa" display="🔗 Ver Mapa" xr:uid="{00000000-0004-0000-0000-0000CB090000}"/>
    <hyperlink ref="L2524" r:id="rId2509" tooltip="🔗 Ver Mapa" display="🔗 Ver Mapa" xr:uid="{00000000-0004-0000-0000-0000CC090000}"/>
    <hyperlink ref="L2525" r:id="rId2510" tooltip="🔗 Ver Mapa" display="🔗 Ver Mapa" xr:uid="{00000000-0004-0000-0000-0000CD090000}"/>
    <hyperlink ref="L2526" r:id="rId2511" tooltip="🔗 Ver Mapa" display="🔗 Ver Mapa" xr:uid="{00000000-0004-0000-0000-0000CE090000}"/>
    <hyperlink ref="L2527" r:id="rId2512" tooltip="🔗 Ver Mapa" display="🔗 Ver Mapa" xr:uid="{00000000-0004-0000-0000-0000CF090000}"/>
    <hyperlink ref="L2528" r:id="rId2513" tooltip="🔗 Ver Mapa" display="🔗 Ver Mapa" xr:uid="{00000000-0004-0000-0000-0000D0090000}"/>
    <hyperlink ref="L2529" r:id="rId2514" tooltip="🔗 Ver Mapa" display="🔗 Ver Mapa" xr:uid="{00000000-0004-0000-0000-0000D1090000}"/>
    <hyperlink ref="L2530" r:id="rId2515" tooltip="🔗 Ver Mapa" display="🔗 Ver Mapa" xr:uid="{00000000-0004-0000-0000-0000D2090000}"/>
    <hyperlink ref="L2531" r:id="rId2516" tooltip="🔗 Ver Mapa" display="🔗 Ver Mapa" xr:uid="{00000000-0004-0000-0000-0000D3090000}"/>
    <hyperlink ref="L2532" r:id="rId2517" tooltip="🔗 Ver Mapa" display="🔗 Ver Mapa" xr:uid="{00000000-0004-0000-0000-0000D4090000}"/>
    <hyperlink ref="L2533" r:id="rId2518" tooltip="🔗 Ver Mapa" display="🔗 Ver Mapa" xr:uid="{00000000-0004-0000-0000-0000D5090000}"/>
    <hyperlink ref="L2534" r:id="rId2519" tooltip="🔗 Ver Mapa" display="🔗 Ver Mapa" xr:uid="{00000000-0004-0000-0000-0000D6090000}"/>
    <hyperlink ref="L2535" r:id="rId2520" tooltip="🔗 Ver Mapa" display="🔗 Ver Mapa" xr:uid="{00000000-0004-0000-0000-0000D7090000}"/>
    <hyperlink ref="L2536" r:id="rId2521" tooltip="🔗 Ver Mapa" display="🔗 Ver Mapa" xr:uid="{00000000-0004-0000-0000-0000D8090000}"/>
    <hyperlink ref="L2537" r:id="rId2522" tooltip="🔗 Ver Mapa" display="🔗 Ver Mapa" xr:uid="{00000000-0004-0000-0000-0000D9090000}"/>
    <hyperlink ref="L2538" r:id="rId2523" tooltip="🔗 Ver Mapa" display="🔗 Ver Mapa" xr:uid="{00000000-0004-0000-0000-0000DA090000}"/>
    <hyperlink ref="L2539" r:id="rId2524" tooltip="🔗 Ver Mapa" display="🔗 Ver Mapa" xr:uid="{00000000-0004-0000-0000-0000DB090000}"/>
    <hyperlink ref="L2540" r:id="rId2525" tooltip="🔗 Ver Mapa" display="🔗 Ver Mapa" xr:uid="{00000000-0004-0000-0000-0000DC090000}"/>
    <hyperlink ref="L2541" r:id="rId2526" tooltip="🔗 Ver Mapa" display="🔗 Ver Mapa" xr:uid="{00000000-0004-0000-0000-0000DD090000}"/>
    <hyperlink ref="L2542" r:id="rId2527" tooltip="🔗 Ver Mapa" display="🔗 Ver Mapa" xr:uid="{00000000-0004-0000-0000-0000DE090000}"/>
    <hyperlink ref="L2543" r:id="rId2528" tooltip="🔗 Ver Mapa" display="🔗 Ver Mapa" xr:uid="{00000000-0004-0000-0000-0000DF090000}"/>
    <hyperlink ref="L2544" r:id="rId2529" tooltip="🔗 Ver Mapa" display="🔗 Ver Mapa" xr:uid="{00000000-0004-0000-0000-0000E0090000}"/>
    <hyperlink ref="L2545" r:id="rId2530" tooltip="🔗 Ver Mapa" display="🔗 Ver Mapa" xr:uid="{00000000-0004-0000-0000-0000E1090000}"/>
    <hyperlink ref="L2546" r:id="rId2531" tooltip="🔗 Ver Mapa" display="🔗 Ver Mapa" xr:uid="{00000000-0004-0000-0000-0000E2090000}"/>
    <hyperlink ref="L2547" r:id="rId2532" tooltip="🔗 Ver Mapa" display="🔗 Ver Mapa" xr:uid="{00000000-0004-0000-0000-0000E3090000}"/>
    <hyperlink ref="L2548" r:id="rId2533" tooltip="🔗 Ver Mapa" display="🔗 Ver Mapa" xr:uid="{00000000-0004-0000-0000-0000E4090000}"/>
    <hyperlink ref="L2549" r:id="rId2534" tooltip="🔗 Ver Mapa" display="🔗 Ver Mapa" xr:uid="{00000000-0004-0000-0000-0000E5090000}"/>
    <hyperlink ref="L2550" r:id="rId2535" tooltip="🔗 Ver Mapa" display="🔗 Ver Mapa" xr:uid="{00000000-0004-0000-0000-0000E6090000}"/>
    <hyperlink ref="L2551" r:id="rId2536" tooltip="🔗 Ver Mapa" display="🔗 Ver Mapa" xr:uid="{00000000-0004-0000-0000-0000E7090000}"/>
    <hyperlink ref="L2552" r:id="rId2537" tooltip="🔗 Ver Mapa" display="🔗 Ver Mapa" xr:uid="{00000000-0004-0000-0000-0000E8090000}"/>
    <hyperlink ref="L2553" r:id="rId2538" tooltip="🔗 Ver Mapa" display="🔗 Ver Mapa" xr:uid="{00000000-0004-0000-0000-0000E9090000}"/>
    <hyperlink ref="L2554" r:id="rId2539" tooltip="🔗 Ver Mapa" display="🔗 Ver Mapa" xr:uid="{00000000-0004-0000-0000-0000EA090000}"/>
    <hyperlink ref="L2555" r:id="rId2540" tooltip="🔗 Ver Mapa" display="🔗 Ver Mapa" xr:uid="{00000000-0004-0000-0000-0000EB090000}"/>
    <hyperlink ref="L2556" r:id="rId2541" tooltip="🔗 Ver Mapa" display="🔗 Ver Mapa" xr:uid="{00000000-0004-0000-0000-0000EC090000}"/>
    <hyperlink ref="L2557" r:id="rId2542" tooltip="🔗 Ver Mapa" display="🔗 Ver Mapa" xr:uid="{00000000-0004-0000-0000-0000ED090000}"/>
    <hyperlink ref="L2558" r:id="rId2543" tooltip="🔗 Ver Mapa" display="🔗 Ver Mapa" xr:uid="{00000000-0004-0000-0000-0000EE090000}"/>
    <hyperlink ref="L2559" r:id="rId2544" tooltip="🔗 Ver Mapa" display="🔗 Ver Mapa" xr:uid="{00000000-0004-0000-0000-0000EF090000}"/>
    <hyperlink ref="L2560" r:id="rId2545" tooltip="🔗 Ver Mapa" display="🔗 Ver Mapa" xr:uid="{00000000-0004-0000-0000-0000F0090000}"/>
    <hyperlink ref="L2561" r:id="rId2546" tooltip="🔗 Ver Mapa" display="🔗 Ver Mapa" xr:uid="{00000000-0004-0000-0000-0000F1090000}"/>
    <hyperlink ref="L2562" r:id="rId2547" tooltip="🔗 Ver Mapa" display="🔗 Ver Mapa" xr:uid="{00000000-0004-0000-0000-0000F2090000}"/>
    <hyperlink ref="L2563" r:id="rId2548" tooltip="🔗 Ver Mapa" display="🔗 Ver Mapa" xr:uid="{00000000-0004-0000-0000-0000F3090000}"/>
    <hyperlink ref="L2564" r:id="rId2549" tooltip="🔗 Ver Mapa" display="🔗 Ver Mapa" xr:uid="{00000000-0004-0000-0000-0000F4090000}"/>
    <hyperlink ref="L2565" r:id="rId2550" tooltip="🔗 Ver Mapa" display="🔗 Ver Mapa" xr:uid="{00000000-0004-0000-0000-0000F5090000}"/>
    <hyperlink ref="L2566" r:id="rId2551" tooltip="🔗 Ver Mapa" display="🔗 Ver Mapa" xr:uid="{00000000-0004-0000-0000-0000F6090000}"/>
    <hyperlink ref="L2567" r:id="rId2552" tooltip="🔗 Ver Mapa" display="🔗 Ver Mapa" xr:uid="{00000000-0004-0000-0000-0000F7090000}"/>
    <hyperlink ref="L2568" r:id="rId2553" tooltip="🔗 Ver Mapa" display="🔗 Ver Mapa" xr:uid="{00000000-0004-0000-0000-0000F8090000}"/>
    <hyperlink ref="L2569" r:id="rId2554" tooltip="🔗 Ver Mapa" display="🔗 Ver Mapa" xr:uid="{00000000-0004-0000-0000-0000F9090000}"/>
    <hyperlink ref="L2570" r:id="rId2555" tooltip="🔗 Ver Mapa" display="🔗 Ver Mapa" xr:uid="{00000000-0004-0000-0000-0000FA090000}"/>
    <hyperlink ref="L2571" r:id="rId2556" tooltip="🔗 Ver Mapa" display="🔗 Ver Mapa" xr:uid="{00000000-0004-0000-0000-0000FB090000}"/>
    <hyperlink ref="L2572" r:id="rId2557" tooltip="🔗 Ver Mapa" display="🔗 Ver Mapa" xr:uid="{00000000-0004-0000-0000-0000FC090000}"/>
    <hyperlink ref="L2573" r:id="rId2558" tooltip="🔗 Ver Mapa" display="🔗 Ver Mapa" xr:uid="{00000000-0004-0000-0000-0000FD090000}"/>
    <hyperlink ref="L2574" r:id="rId2559" tooltip="🔗 Ver Mapa" display="🔗 Ver Mapa" xr:uid="{00000000-0004-0000-0000-0000FE090000}"/>
    <hyperlink ref="L2575" r:id="rId2560" tooltip="🔗 Ver Mapa" display="🔗 Ver Mapa" xr:uid="{00000000-0004-0000-0000-0000FF090000}"/>
    <hyperlink ref="L2576" r:id="rId2561" tooltip="🔗 Ver Mapa" display="🔗 Ver Mapa" xr:uid="{00000000-0004-0000-0000-0000000A0000}"/>
    <hyperlink ref="L2577" r:id="rId2562" tooltip="🔗 Ver Mapa" display="🔗 Ver Mapa" xr:uid="{00000000-0004-0000-0000-0000010A0000}"/>
    <hyperlink ref="L2578" r:id="rId2563" tooltip="🔗 Ver Mapa" display="🔗 Ver Mapa" xr:uid="{00000000-0004-0000-0000-0000020A0000}"/>
    <hyperlink ref="L2579" r:id="rId2564" tooltip="🔗 Ver Mapa" display="🔗 Ver Mapa" xr:uid="{00000000-0004-0000-0000-0000030A0000}"/>
    <hyperlink ref="L2580" r:id="rId2565" tooltip="🔗 Ver Mapa" display="🔗 Ver Mapa" xr:uid="{00000000-0004-0000-0000-0000040A0000}"/>
    <hyperlink ref="L2581" r:id="rId2566" tooltip="🔗 Ver Mapa" display="🔗 Ver Mapa" xr:uid="{00000000-0004-0000-0000-0000050A0000}"/>
    <hyperlink ref="L2582" r:id="rId2567" tooltip="🔗 Ver Mapa" display="🔗 Ver Mapa" xr:uid="{00000000-0004-0000-0000-0000060A0000}"/>
    <hyperlink ref="L2583" r:id="rId2568" tooltip="🔗 Ver Mapa" display="🔗 Ver Mapa" xr:uid="{00000000-0004-0000-0000-0000070A0000}"/>
    <hyperlink ref="L2584" r:id="rId2569" tooltip="🔗 Ver Mapa" display="🔗 Ver Mapa" xr:uid="{00000000-0004-0000-0000-0000080A0000}"/>
    <hyperlink ref="L2585" r:id="rId2570" tooltip="🔗 Ver Mapa" display="🔗 Ver Mapa" xr:uid="{00000000-0004-0000-0000-0000090A0000}"/>
    <hyperlink ref="L2586" r:id="rId2571" tooltip="🔗 Ver Mapa" display="🔗 Ver Mapa" xr:uid="{00000000-0004-0000-0000-00000A0A0000}"/>
    <hyperlink ref="L2587" r:id="rId2572" tooltip="🔗 Ver Mapa" display="🔗 Ver Mapa" xr:uid="{00000000-0004-0000-0000-00000B0A0000}"/>
    <hyperlink ref="L2588" r:id="rId2573" tooltip="🔗 Ver Mapa" display="🔗 Ver Mapa" xr:uid="{00000000-0004-0000-0000-00000C0A0000}"/>
    <hyperlink ref="L2589" r:id="rId2574" tooltip="🔗 Ver Mapa" display="🔗 Ver Mapa" xr:uid="{00000000-0004-0000-0000-00000D0A0000}"/>
    <hyperlink ref="L2590" r:id="rId2575" tooltip="🔗 Ver Mapa" display="🔗 Ver Mapa" xr:uid="{00000000-0004-0000-0000-00000E0A0000}"/>
    <hyperlink ref="L2591" r:id="rId2576" tooltip="🔗 Ver Mapa" display="🔗 Ver Mapa" xr:uid="{00000000-0004-0000-0000-00000F0A0000}"/>
    <hyperlink ref="L2592" r:id="rId2577" tooltip="🔗 Ver Mapa" display="🔗 Ver Mapa" xr:uid="{00000000-0004-0000-0000-0000100A0000}"/>
    <hyperlink ref="L2593" r:id="rId2578" tooltip="🔗 Ver Mapa" display="🔗 Ver Mapa" xr:uid="{00000000-0004-0000-0000-0000110A0000}"/>
    <hyperlink ref="L2594" r:id="rId2579" tooltip="🔗 Ver Mapa" display="🔗 Ver Mapa" xr:uid="{00000000-0004-0000-0000-0000120A0000}"/>
    <hyperlink ref="L2595" r:id="rId2580" tooltip="🔗 Ver Mapa" display="🔗 Ver Mapa" xr:uid="{00000000-0004-0000-0000-0000130A0000}"/>
    <hyperlink ref="L2596" r:id="rId2581" tooltip="🔗 Ver Mapa" display="🔗 Ver Mapa" xr:uid="{00000000-0004-0000-0000-0000140A0000}"/>
    <hyperlink ref="L2597" r:id="rId2582" tooltip="🔗 Ver Mapa" display="🔗 Ver Mapa" xr:uid="{00000000-0004-0000-0000-0000150A0000}"/>
    <hyperlink ref="L2598" r:id="rId2583" tooltip="🔗 Ver Mapa" display="🔗 Ver Mapa" xr:uid="{00000000-0004-0000-0000-0000160A0000}"/>
    <hyperlink ref="L2599" r:id="rId2584" tooltip="🔗 Ver Mapa" display="🔗 Ver Mapa" xr:uid="{00000000-0004-0000-0000-0000170A0000}"/>
    <hyperlink ref="L2600" r:id="rId2585" tooltip="🔗 Ver Mapa" display="🔗 Ver Mapa" xr:uid="{00000000-0004-0000-0000-0000180A0000}"/>
    <hyperlink ref="L2601" r:id="rId2586" tooltip="🔗 Ver Mapa" display="🔗 Ver Mapa" xr:uid="{00000000-0004-0000-0000-0000190A0000}"/>
    <hyperlink ref="L2602" r:id="rId2587" tooltip="🔗 Ver Mapa" display="🔗 Ver Mapa" xr:uid="{00000000-0004-0000-0000-00001A0A0000}"/>
    <hyperlink ref="L2603" r:id="rId2588" tooltip="🔗 Ver Mapa" display="🔗 Ver Mapa" xr:uid="{00000000-0004-0000-0000-00001B0A0000}"/>
    <hyperlink ref="L2604" r:id="rId2589" tooltip="🔗 Ver Mapa" display="🔗 Ver Mapa" xr:uid="{00000000-0004-0000-0000-00001C0A0000}"/>
    <hyperlink ref="L2605" r:id="rId2590" tooltip="🔗 Ver Mapa" display="🔗 Ver Mapa" xr:uid="{00000000-0004-0000-0000-00001D0A0000}"/>
    <hyperlink ref="L2606" r:id="rId2591" tooltip="🔗 Ver Mapa" display="🔗 Ver Mapa" xr:uid="{00000000-0004-0000-0000-00001E0A0000}"/>
    <hyperlink ref="L2607" r:id="rId2592" tooltip="🔗 Ver Mapa" display="🔗 Ver Mapa" xr:uid="{00000000-0004-0000-0000-00001F0A0000}"/>
    <hyperlink ref="L2608" r:id="rId2593" tooltip="🔗 Ver Mapa" display="🔗 Ver Mapa" xr:uid="{00000000-0004-0000-0000-0000200A0000}"/>
    <hyperlink ref="L2609" r:id="rId2594" tooltip="🔗 Ver Mapa" display="🔗 Ver Mapa" xr:uid="{00000000-0004-0000-0000-0000210A0000}"/>
    <hyperlink ref="L2610" r:id="rId2595" tooltip="🔗 Ver Mapa" display="🔗 Ver Mapa" xr:uid="{00000000-0004-0000-0000-0000220A0000}"/>
    <hyperlink ref="L2611" r:id="rId2596" tooltip="🔗 Ver Mapa" display="🔗 Ver Mapa" xr:uid="{00000000-0004-0000-0000-0000230A0000}"/>
    <hyperlink ref="L2612" r:id="rId2597" tooltip="🔗 Ver Mapa" display="🔗 Ver Mapa" xr:uid="{00000000-0004-0000-0000-0000240A0000}"/>
    <hyperlink ref="L2613" r:id="rId2598" tooltip="🔗 Ver Mapa" display="🔗 Ver Mapa" xr:uid="{00000000-0004-0000-0000-0000250A0000}"/>
    <hyperlink ref="L2614" r:id="rId2599" tooltip="🔗 Ver Mapa" display="🔗 Ver Mapa" xr:uid="{00000000-0004-0000-0000-0000260A0000}"/>
    <hyperlink ref="L2615" r:id="rId2600" tooltip="🔗 Ver Mapa" display="🔗 Ver Mapa" xr:uid="{00000000-0004-0000-0000-0000270A0000}"/>
    <hyperlink ref="L2616" r:id="rId2601" tooltip="🔗 Ver Mapa" display="🔗 Ver Mapa" xr:uid="{00000000-0004-0000-0000-0000280A0000}"/>
    <hyperlink ref="L2617" r:id="rId2602" tooltip="🔗 Ver Mapa" display="🔗 Ver Mapa" xr:uid="{00000000-0004-0000-0000-0000290A0000}"/>
    <hyperlink ref="L2618" r:id="rId2603" tooltip="🔗 Ver Mapa" display="🔗 Ver Mapa" xr:uid="{00000000-0004-0000-0000-00002A0A0000}"/>
    <hyperlink ref="L2619" r:id="rId2604" tooltip="🔗 Ver Mapa" display="🔗 Ver Mapa" xr:uid="{00000000-0004-0000-0000-00002B0A0000}"/>
    <hyperlink ref="L2620" r:id="rId2605" tooltip="🔗 Ver Mapa" display="🔗 Ver Mapa" xr:uid="{00000000-0004-0000-0000-00002C0A0000}"/>
    <hyperlink ref="L2621" r:id="rId2606" tooltip="🔗 Ver Mapa" display="🔗 Ver Mapa" xr:uid="{00000000-0004-0000-0000-00002D0A0000}"/>
    <hyperlink ref="L2622" r:id="rId2607" tooltip="🔗 Ver Mapa" display="🔗 Ver Mapa" xr:uid="{00000000-0004-0000-0000-00002E0A0000}"/>
    <hyperlink ref="L2623" r:id="rId2608" tooltip="🔗 Ver Mapa" display="🔗 Ver Mapa" xr:uid="{00000000-0004-0000-0000-00002F0A0000}"/>
    <hyperlink ref="L2624" r:id="rId2609" tooltip="🔗 Ver Mapa" display="🔗 Ver Mapa" xr:uid="{00000000-0004-0000-0000-0000300A0000}"/>
    <hyperlink ref="L2625" r:id="rId2610" tooltip="🔗 Ver Mapa" display="🔗 Ver Mapa" xr:uid="{00000000-0004-0000-0000-0000310A0000}"/>
    <hyperlink ref="L2626" r:id="rId2611" tooltip="🔗 Ver Mapa" display="🔗 Ver Mapa" xr:uid="{00000000-0004-0000-0000-0000320A0000}"/>
    <hyperlink ref="L2627" r:id="rId2612" tooltip="🔗 Ver Mapa" display="🔗 Ver Mapa" xr:uid="{00000000-0004-0000-0000-0000330A0000}"/>
    <hyperlink ref="L2628" r:id="rId2613" tooltip="🔗 Ver Mapa" display="🔗 Ver Mapa" xr:uid="{00000000-0004-0000-0000-0000340A0000}"/>
    <hyperlink ref="L2629" r:id="rId2614" tooltip="🔗 Ver Mapa" display="🔗 Ver Mapa" xr:uid="{00000000-0004-0000-0000-0000350A0000}"/>
    <hyperlink ref="L2630" r:id="rId2615" tooltip="🔗 Ver Mapa" display="🔗 Ver Mapa" xr:uid="{00000000-0004-0000-0000-0000360A0000}"/>
    <hyperlink ref="L2631" r:id="rId2616" tooltip="🔗 Ver Mapa" display="🔗 Ver Mapa" xr:uid="{00000000-0004-0000-0000-0000370A0000}"/>
    <hyperlink ref="L2632" r:id="rId2617" tooltip="🔗 Ver Mapa" display="🔗 Ver Mapa" xr:uid="{00000000-0004-0000-0000-0000380A0000}"/>
    <hyperlink ref="L2633" r:id="rId2618" tooltip="🔗 Ver Mapa" display="🔗 Ver Mapa" xr:uid="{00000000-0004-0000-0000-0000390A0000}"/>
    <hyperlink ref="L2634" r:id="rId2619" tooltip="🔗 Ver Mapa" display="🔗 Ver Mapa" xr:uid="{00000000-0004-0000-0000-00003A0A0000}"/>
    <hyperlink ref="L2635" r:id="rId2620" tooltip="🔗 Ver Mapa" display="🔗 Ver Mapa" xr:uid="{00000000-0004-0000-0000-00003B0A0000}"/>
    <hyperlink ref="L2636" r:id="rId2621" tooltip="🔗 Ver Mapa" display="🔗 Ver Mapa" xr:uid="{00000000-0004-0000-0000-00003C0A0000}"/>
    <hyperlink ref="L2637" r:id="rId2622" tooltip="🔗 Ver Mapa" display="🔗 Ver Mapa" xr:uid="{00000000-0004-0000-0000-00003D0A0000}"/>
    <hyperlink ref="L2638" r:id="rId2623" tooltip="🔗 Ver Mapa" display="🔗 Ver Mapa" xr:uid="{00000000-0004-0000-0000-00003E0A0000}"/>
    <hyperlink ref="L2639" r:id="rId2624" tooltip="🔗 Ver Mapa" display="🔗 Ver Mapa" xr:uid="{00000000-0004-0000-0000-00003F0A0000}"/>
    <hyperlink ref="L2640" r:id="rId2625" tooltip="🔗 Ver Mapa" display="🔗 Ver Mapa" xr:uid="{00000000-0004-0000-0000-0000400A0000}"/>
    <hyperlink ref="L2641" r:id="rId2626" tooltip="🔗 Ver Mapa" display="🔗 Ver Mapa" xr:uid="{00000000-0004-0000-0000-0000410A0000}"/>
    <hyperlink ref="L2642" r:id="rId2627" tooltip="🔗 Ver Mapa" display="🔗 Ver Mapa" xr:uid="{00000000-0004-0000-0000-0000420A0000}"/>
    <hyperlink ref="L2643" r:id="rId2628" tooltip="🔗 Ver Mapa" display="🔗 Ver Mapa" xr:uid="{00000000-0004-0000-0000-0000430A0000}"/>
    <hyperlink ref="L2644" r:id="rId2629" tooltip="🔗 Ver Mapa" display="🔗 Ver Mapa" xr:uid="{00000000-0004-0000-0000-0000440A0000}"/>
    <hyperlink ref="L2645" r:id="rId2630" tooltip="🔗 Ver Mapa" display="🔗 Ver Mapa" xr:uid="{00000000-0004-0000-0000-0000450A0000}"/>
    <hyperlink ref="L2646" r:id="rId2631" tooltip="🔗 Ver Mapa" display="🔗 Ver Mapa" xr:uid="{00000000-0004-0000-0000-0000460A0000}"/>
    <hyperlink ref="L2647" r:id="rId2632" tooltip="🔗 Ver Mapa" display="🔗 Ver Mapa" xr:uid="{00000000-0004-0000-0000-0000470A0000}"/>
    <hyperlink ref="L2648" r:id="rId2633" tooltip="🔗 Ver Mapa" display="🔗 Ver Mapa" xr:uid="{00000000-0004-0000-0000-0000480A0000}"/>
    <hyperlink ref="L2649" r:id="rId2634" tooltip="🔗 Ver Mapa" display="🔗 Ver Mapa" xr:uid="{00000000-0004-0000-0000-0000490A0000}"/>
    <hyperlink ref="L2650" r:id="rId2635" tooltip="🔗 Ver Mapa" display="🔗 Ver Mapa" xr:uid="{00000000-0004-0000-0000-00004A0A0000}"/>
    <hyperlink ref="L2651" r:id="rId2636" tooltip="🔗 Ver Mapa" display="🔗 Ver Mapa" xr:uid="{00000000-0004-0000-0000-00004B0A0000}"/>
    <hyperlink ref="L2652" r:id="rId2637" tooltip="🔗 Ver Mapa" display="🔗 Ver Mapa" xr:uid="{00000000-0004-0000-0000-00004C0A0000}"/>
    <hyperlink ref="L2653" r:id="rId2638" tooltip="🔗 Ver Mapa" display="🔗 Ver Mapa" xr:uid="{00000000-0004-0000-0000-00004D0A0000}"/>
    <hyperlink ref="L2654" r:id="rId2639" tooltip="🔗 Ver Mapa" display="🔗 Ver Mapa" xr:uid="{00000000-0004-0000-0000-00004E0A0000}"/>
    <hyperlink ref="L2655" r:id="rId2640" tooltip="🔗 Ver Mapa" display="🔗 Ver Mapa" xr:uid="{00000000-0004-0000-0000-00004F0A0000}"/>
    <hyperlink ref="L2656" r:id="rId2641" tooltip="🔗 Ver Mapa" display="🔗 Ver Mapa" xr:uid="{00000000-0004-0000-0000-0000500A0000}"/>
    <hyperlink ref="L2657" r:id="rId2642" tooltip="🔗 Ver Mapa" display="🔗 Ver Mapa" xr:uid="{00000000-0004-0000-0000-0000510A0000}"/>
    <hyperlink ref="L2658" r:id="rId2643" tooltip="🔗 Ver Mapa" display="🔗 Ver Mapa" xr:uid="{00000000-0004-0000-0000-0000520A0000}"/>
    <hyperlink ref="L2659" r:id="rId2644" tooltip="🔗 Ver Mapa" display="🔗 Ver Mapa" xr:uid="{00000000-0004-0000-0000-0000530A0000}"/>
    <hyperlink ref="L2660" r:id="rId2645" tooltip="🔗 Ver Mapa" display="🔗 Ver Mapa" xr:uid="{00000000-0004-0000-0000-0000540A0000}"/>
    <hyperlink ref="L2661" r:id="rId2646" tooltip="🔗 Ver Mapa" display="🔗 Ver Mapa" xr:uid="{00000000-0004-0000-0000-0000550A0000}"/>
    <hyperlink ref="L2662" r:id="rId2647" tooltip="🔗 Ver Mapa" display="🔗 Ver Mapa" xr:uid="{00000000-0004-0000-0000-0000560A0000}"/>
    <hyperlink ref="L2663" r:id="rId2648" tooltip="🔗 Ver Mapa" display="🔗 Ver Mapa" xr:uid="{00000000-0004-0000-0000-0000570A0000}"/>
    <hyperlink ref="L2664" r:id="rId2649" tooltip="🔗 Ver Mapa" display="🔗 Ver Mapa" xr:uid="{00000000-0004-0000-0000-0000580A0000}"/>
    <hyperlink ref="L2665" r:id="rId2650" tooltip="🔗 Ver Mapa" display="🔗 Ver Mapa" xr:uid="{00000000-0004-0000-0000-0000590A0000}"/>
    <hyperlink ref="L2666" r:id="rId2651" tooltip="🔗 Ver Mapa" display="🔗 Ver Mapa" xr:uid="{00000000-0004-0000-0000-00005A0A0000}"/>
    <hyperlink ref="L2667" r:id="rId2652" tooltip="🔗 Ver Mapa" display="🔗 Ver Mapa" xr:uid="{00000000-0004-0000-0000-00005B0A0000}"/>
    <hyperlink ref="L2668" r:id="rId2653" tooltip="🔗 Ver Mapa" display="🔗 Ver Mapa" xr:uid="{00000000-0004-0000-0000-00005C0A0000}"/>
    <hyperlink ref="L2669" r:id="rId2654" tooltip="🔗 Ver Mapa" display="🔗 Ver Mapa" xr:uid="{00000000-0004-0000-0000-00005D0A0000}"/>
    <hyperlink ref="L2670" r:id="rId2655" tooltip="🔗 Ver Mapa" display="🔗 Ver Mapa" xr:uid="{00000000-0004-0000-0000-00005E0A0000}"/>
    <hyperlink ref="L2671" r:id="rId2656" tooltip="🔗 Ver Mapa" display="🔗 Ver Mapa" xr:uid="{00000000-0004-0000-0000-00005F0A0000}"/>
    <hyperlink ref="L2672" r:id="rId2657" tooltip="🔗 Ver Mapa" display="🔗 Ver Mapa" xr:uid="{00000000-0004-0000-0000-0000600A0000}"/>
    <hyperlink ref="L2673" r:id="rId2658" tooltip="🔗 Ver Mapa" display="🔗 Ver Mapa" xr:uid="{00000000-0004-0000-0000-0000610A0000}"/>
    <hyperlink ref="L2674" r:id="rId2659" tooltip="🔗 Ver Mapa" display="🔗 Ver Mapa" xr:uid="{00000000-0004-0000-0000-0000620A0000}"/>
    <hyperlink ref="L2675" r:id="rId2660" tooltip="🔗 Ver Mapa" display="🔗 Ver Mapa" xr:uid="{00000000-0004-0000-0000-0000630A0000}"/>
    <hyperlink ref="L2676" r:id="rId2661" tooltip="🔗 Ver Mapa" display="🔗 Ver Mapa" xr:uid="{00000000-0004-0000-0000-0000640A0000}"/>
    <hyperlink ref="L2677" r:id="rId2662" tooltip="🔗 Ver Mapa" display="🔗 Ver Mapa" xr:uid="{00000000-0004-0000-0000-0000650A0000}"/>
    <hyperlink ref="L2678" r:id="rId2663" tooltip="🔗 Ver Mapa" display="🔗 Ver Mapa" xr:uid="{00000000-0004-0000-0000-0000660A0000}"/>
    <hyperlink ref="L2679" r:id="rId2664" tooltip="🔗 Ver Mapa" display="🔗 Ver Mapa" xr:uid="{00000000-0004-0000-0000-0000670A0000}"/>
    <hyperlink ref="L2680" r:id="rId2665" tooltip="🔗 Ver Mapa" display="🔗 Ver Mapa" xr:uid="{00000000-0004-0000-0000-0000680A0000}"/>
    <hyperlink ref="L2681" r:id="rId2666" tooltip="🔗 Ver Mapa" display="🔗 Ver Mapa" xr:uid="{00000000-0004-0000-0000-0000690A0000}"/>
    <hyperlink ref="L2682" r:id="rId2667" tooltip="🔗 Ver Mapa" display="🔗 Ver Mapa" xr:uid="{00000000-0004-0000-0000-00006A0A0000}"/>
    <hyperlink ref="L2683" r:id="rId2668" tooltip="🔗 Ver Mapa" display="🔗 Ver Mapa" xr:uid="{00000000-0004-0000-0000-00006B0A0000}"/>
    <hyperlink ref="L2684" r:id="rId2669" tooltip="🔗 Ver Mapa" display="🔗 Ver Mapa" xr:uid="{00000000-0004-0000-0000-00006C0A0000}"/>
    <hyperlink ref="L2685" r:id="rId2670" tooltip="🔗 Ver Mapa" display="🔗 Ver Mapa" xr:uid="{00000000-0004-0000-0000-00006D0A0000}"/>
    <hyperlink ref="L2686" r:id="rId2671" tooltip="🔗 Ver Mapa" display="🔗 Ver Mapa" xr:uid="{00000000-0004-0000-0000-00006E0A0000}"/>
    <hyperlink ref="L2687" r:id="rId2672" tooltip="🔗 Ver Mapa" display="🔗 Ver Mapa" xr:uid="{00000000-0004-0000-0000-00006F0A0000}"/>
    <hyperlink ref="L2688" r:id="rId2673" tooltip="🔗 Ver Mapa" display="🔗 Ver Mapa" xr:uid="{00000000-0004-0000-0000-0000700A0000}"/>
    <hyperlink ref="L2689" r:id="rId2674" tooltip="🔗 Ver Mapa" display="🔗 Ver Mapa" xr:uid="{00000000-0004-0000-0000-0000710A0000}"/>
    <hyperlink ref="L2690" r:id="rId2675" tooltip="🔗 Ver Mapa" display="🔗 Ver Mapa" xr:uid="{00000000-0004-0000-0000-0000720A0000}"/>
    <hyperlink ref="L2691" r:id="rId2676" tooltip="🔗 Ver Mapa" display="🔗 Ver Mapa" xr:uid="{00000000-0004-0000-0000-0000730A0000}"/>
    <hyperlink ref="L2692" r:id="rId2677" tooltip="🔗 Ver Mapa" display="🔗 Ver Mapa" xr:uid="{00000000-0004-0000-0000-0000740A0000}"/>
    <hyperlink ref="L2693" r:id="rId2678" tooltip="🔗 Ver Mapa" display="🔗 Ver Mapa" xr:uid="{00000000-0004-0000-0000-0000750A0000}"/>
    <hyperlink ref="L2694" r:id="rId2679" tooltip="🔗 Ver Mapa" display="🔗 Ver Mapa" xr:uid="{00000000-0004-0000-0000-0000760A0000}"/>
    <hyperlink ref="L2695" r:id="rId2680" tooltip="🔗 Ver Mapa" display="🔗 Ver Mapa" xr:uid="{00000000-0004-0000-0000-0000770A0000}"/>
    <hyperlink ref="L2696" r:id="rId2681" tooltip="🔗 Ver Mapa" display="🔗 Ver Mapa" xr:uid="{00000000-0004-0000-0000-0000780A0000}"/>
    <hyperlink ref="L2697" r:id="rId2682" tooltip="🔗 Ver Mapa" display="🔗 Ver Mapa" xr:uid="{00000000-0004-0000-0000-0000790A0000}"/>
    <hyperlink ref="L2698" r:id="rId2683" tooltip="🔗 Ver Mapa" display="🔗 Ver Mapa" xr:uid="{00000000-0004-0000-0000-00007A0A0000}"/>
    <hyperlink ref="L2699" r:id="rId2684" tooltip="🔗 Ver Mapa" display="🔗 Ver Mapa" xr:uid="{00000000-0004-0000-0000-00007B0A0000}"/>
    <hyperlink ref="L2700" r:id="rId2685" tooltip="🔗 Ver Mapa" display="🔗 Ver Mapa" xr:uid="{00000000-0004-0000-0000-00007C0A0000}"/>
    <hyperlink ref="L2701" r:id="rId2686" tooltip="🔗 Ver Mapa" display="🔗 Ver Mapa" xr:uid="{00000000-0004-0000-0000-00007D0A0000}"/>
    <hyperlink ref="L2702" r:id="rId2687" tooltip="🔗 Ver Mapa" display="🔗 Ver Mapa" xr:uid="{00000000-0004-0000-0000-00007E0A0000}"/>
    <hyperlink ref="L2703" r:id="rId2688" tooltip="🔗 Ver Mapa" display="🔗 Ver Mapa" xr:uid="{00000000-0004-0000-0000-00007F0A0000}"/>
    <hyperlink ref="L2704" r:id="rId2689" tooltip="🔗 Ver Mapa" display="🔗 Ver Mapa" xr:uid="{00000000-0004-0000-0000-0000800A0000}"/>
    <hyperlink ref="L2705" r:id="rId2690" tooltip="🔗 Ver Mapa" display="🔗 Ver Mapa" xr:uid="{00000000-0004-0000-0000-0000810A0000}"/>
    <hyperlink ref="L2706" r:id="rId2691" tooltip="🔗 Ver Mapa" display="🔗 Ver Mapa" xr:uid="{00000000-0004-0000-0000-0000820A0000}"/>
    <hyperlink ref="L2707" r:id="rId2692" tooltip="🔗 Ver Mapa" display="🔗 Ver Mapa" xr:uid="{00000000-0004-0000-0000-0000830A0000}"/>
    <hyperlink ref="L2708" r:id="rId2693" tooltip="🔗 Ver Mapa" display="🔗 Ver Mapa" xr:uid="{00000000-0004-0000-0000-0000840A0000}"/>
    <hyperlink ref="L2709" r:id="rId2694" tooltip="🔗 Ver Mapa" display="🔗 Ver Mapa" xr:uid="{00000000-0004-0000-0000-0000850A0000}"/>
    <hyperlink ref="L2710" r:id="rId2695" tooltip="🔗 Ver Mapa" display="🔗 Ver Mapa" xr:uid="{00000000-0004-0000-0000-0000860A0000}"/>
    <hyperlink ref="L2711" r:id="rId2696" tooltip="🔗 Ver Mapa" display="🔗 Ver Mapa" xr:uid="{00000000-0004-0000-0000-0000870A0000}"/>
    <hyperlink ref="L2712" r:id="rId2697" tooltip="🔗 Ver Mapa" display="🔗 Ver Mapa" xr:uid="{00000000-0004-0000-0000-0000880A0000}"/>
    <hyperlink ref="L2713" r:id="rId2698" tooltip="🔗 Ver Mapa" display="🔗 Ver Mapa" xr:uid="{00000000-0004-0000-0000-0000890A0000}"/>
    <hyperlink ref="L2714" r:id="rId2699" tooltip="🔗 Ver Mapa" display="🔗 Ver Mapa" xr:uid="{00000000-0004-0000-0000-00008A0A0000}"/>
    <hyperlink ref="L2715" r:id="rId2700" tooltip="🔗 Ver Mapa" display="🔗 Ver Mapa" xr:uid="{00000000-0004-0000-0000-00008B0A0000}"/>
    <hyperlink ref="L2716" r:id="rId2701" tooltip="🔗 Ver Mapa" display="🔗 Ver Mapa" xr:uid="{00000000-0004-0000-0000-00008C0A0000}"/>
    <hyperlink ref="L2717" r:id="rId2702" tooltip="🔗 Ver Mapa" display="🔗 Ver Mapa" xr:uid="{00000000-0004-0000-0000-00008D0A0000}"/>
    <hyperlink ref="L2718" r:id="rId2703" tooltip="🔗 Ver Mapa" display="🔗 Ver Mapa" xr:uid="{00000000-0004-0000-0000-00008E0A0000}"/>
    <hyperlink ref="L2719" r:id="rId2704" tooltip="🔗 Ver Mapa" display="🔗 Ver Mapa" xr:uid="{00000000-0004-0000-0000-00008F0A0000}"/>
    <hyperlink ref="L2720" r:id="rId2705" tooltip="🔗 Ver Mapa" display="🔗 Ver Mapa" xr:uid="{00000000-0004-0000-0000-0000900A0000}"/>
    <hyperlink ref="L2721" r:id="rId2706" tooltip="🔗 Ver Mapa" display="🔗 Ver Mapa" xr:uid="{00000000-0004-0000-0000-0000910A0000}"/>
    <hyperlink ref="L2722" r:id="rId2707" tooltip="🔗 Ver Mapa" display="🔗 Ver Mapa" xr:uid="{00000000-0004-0000-0000-0000920A0000}"/>
    <hyperlink ref="L2723" r:id="rId2708" tooltip="🔗 Ver Mapa" display="🔗 Ver Mapa" xr:uid="{00000000-0004-0000-0000-0000930A0000}"/>
    <hyperlink ref="L2724" r:id="rId2709" tooltip="🔗 Ver Mapa" display="🔗 Ver Mapa" xr:uid="{00000000-0004-0000-0000-0000940A0000}"/>
    <hyperlink ref="L2725" r:id="rId2710" tooltip="🔗 Ver Mapa" display="🔗 Ver Mapa" xr:uid="{00000000-0004-0000-0000-0000950A0000}"/>
    <hyperlink ref="L2726" r:id="rId2711" tooltip="🔗 Ver Mapa" display="🔗 Ver Mapa" xr:uid="{00000000-0004-0000-0000-0000960A0000}"/>
    <hyperlink ref="L2727" r:id="rId2712" tooltip="🔗 Ver Mapa" display="🔗 Ver Mapa" xr:uid="{00000000-0004-0000-0000-0000970A0000}"/>
    <hyperlink ref="L2728" r:id="rId2713" tooltip="🔗 Ver Mapa" display="🔗 Ver Mapa" xr:uid="{00000000-0004-0000-0000-0000980A0000}"/>
    <hyperlink ref="L2729" r:id="rId2714" tooltip="🔗 Ver Mapa" display="🔗 Ver Mapa" xr:uid="{00000000-0004-0000-0000-0000990A0000}"/>
    <hyperlink ref="L2730" r:id="rId2715" tooltip="🔗 Ver Mapa" display="🔗 Ver Mapa" xr:uid="{00000000-0004-0000-0000-00009A0A0000}"/>
    <hyperlink ref="L2731" r:id="rId2716" tooltip="🔗 Ver Mapa" display="🔗 Ver Mapa" xr:uid="{00000000-0004-0000-0000-00009B0A0000}"/>
    <hyperlink ref="L2732" r:id="rId2717" tooltip="🔗 Ver Mapa" display="🔗 Ver Mapa" xr:uid="{00000000-0004-0000-0000-00009C0A0000}"/>
    <hyperlink ref="L2733" r:id="rId2718" tooltip="🔗 Ver Mapa" display="🔗 Ver Mapa" xr:uid="{00000000-0004-0000-0000-00009D0A0000}"/>
    <hyperlink ref="L2734" r:id="rId2719" tooltip="🔗 Ver Mapa" display="🔗 Ver Mapa" xr:uid="{00000000-0004-0000-0000-00009E0A0000}"/>
    <hyperlink ref="L2735" r:id="rId2720" tooltip="🔗 Ver Mapa" display="🔗 Ver Mapa" xr:uid="{00000000-0004-0000-0000-00009F0A0000}"/>
    <hyperlink ref="L2736" r:id="rId2721" tooltip="🔗 Ver Mapa" display="🔗 Ver Mapa" xr:uid="{00000000-0004-0000-0000-0000A00A0000}"/>
    <hyperlink ref="L2737" r:id="rId2722" tooltip="🔗 Ver Mapa" display="🔗 Ver Mapa" xr:uid="{00000000-0004-0000-0000-0000A10A0000}"/>
    <hyperlink ref="L2738" r:id="rId2723" tooltip="🔗 Ver Mapa" display="🔗 Ver Mapa" xr:uid="{00000000-0004-0000-0000-0000A20A0000}"/>
    <hyperlink ref="L2739" r:id="rId2724" tooltip="🔗 Ver Mapa" display="🔗 Ver Mapa" xr:uid="{00000000-0004-0000-0000-0000A30A0000}"/>
    <hyperlink ref="L2740" r:id="rId2725" tooltip="🔗 Ver Mapa" display="🔗 Ver Mapa" xr:uid="{00000000-0004-0000-0000-0000A40A0000}"/>
    <hyperlink ref="L2741" r:id="rId2726" tooltip="🔗 Ver Mapa" display="🔗 Ver Mapa" xr:uid="{00000000-0004-0000-0000-0000A50A0000}"/>
    <hyperlink ref="L2742" r:id="rId2727" tooltip="🔗 Ver Mapa" display="🔗 Ver Mapa" xr:uid="{00000000-0004-0000-0000-0000A60A0000}"/>
    <hyperlink ref="L2743" r:id="rId2728" tooltip="🔗 Ver Mapa" display="🔗 Ver Mapa" xr:uid="{00000000-0004-0000-0000-0000A70A0000}"/>
    <hyperlink ref="L2744" r:id="rId2729" tooltip="🔗 Ver Mapa" display="🔗 Ver Mapa" xr:uid="{00000000-0004-0000-0000-0000A80A0000}"/>
    <hyperlink ref="L2745" r:id="rId2730" tooltip="🔗 Ver Mapa" display="🔗 Ver Mapa" xr:uid="{00000000-0004-0000-0000-0000A90A0000}"/>
    <hyperlink ref="L2746" r:id="rId2731" tooltip="🔗 Ver Mapa" display="🔗 Ver Mapa" xr:uid="{00000000-0004-0000-0000-0000AA0A0000}"/>
    <hyperlink ref="L2747" r:id="rId2732" tooltip="🔗 Ver Mapa" display="🔗 Ver Mapa" xr:uid="{00000000-0004-0000-0000-0000AB0A0000}"/>
    <hyperlink ref="L2748" r:id="rId2733" tooltip="🔗 Ver Mapa" display="🔗 Ver Mapa" xr:uid="{00000000-0004-0000-0000-0000AC0A0000}"/>
    <hyperlink ref="L2749" r:id="rId2734" tooltip="🔗 Ver Mapa" display="🔗 Ver Mapa" xr:uid="{00000000-0004-0000-0000-0000AD0A0000}"/>
    <hyperlink ref="L2750" r:id="rId2735" tooltip="🔗 Ver Mapa" display="🔗 Ver Mapa" xr:uid="{00000000-0004-0000-0000-0000AE0A0000}"/>
    <hyperlink ref="L2751" r:id="rId2736" tooltip="🔗 Ver Mapa" display="🔗 Ver Mapa" xr:uid="{00000000-0004-0000-0000-0000AF0A0000}"/>
    <hyperlink ref="L2752" r:id="rId2737" tooltip="🔗 Ver Mapa" display="🔗 Ver Mapa" xr:uid="{00000000-0004-0000-0000-0000B00A0000}"/>
    <hyperlink ref="L2753" r:id="rId2738" tooltip="🔗 Ver Mapa" display="🔗 Ver Mapa" xr:uid="{00000000-0004-0000-0000-0000B10A0000}"/>
    <hyperlink ref="L2754" r:id="rId2739" tooltip="🔗 Ver Mapa" display="🔗 Ver Mapa" xr:uid="{00000000-0004-0000-0000-0000B20A0000}"/>
    <hyperlink ref="L2755" r:id="rId2740" tooltip="🔗 Ver Mapa" display="🔗 Ver Mapa" xr:uid="{00000000-0004-0000-0000-0000B30A0000}"/>
    <hyperlink ref="L2756" r:id="rId2741" tooltip="🔗 Ver Mapa" display="🔗 Ver Mapa" xr:uid="{00000000-0004-0000-0000-0000B40A0000}"/>
    <hyperlink ref="L2757" r:id="rId2742" tooltip="🔗 Ver Mapa" display="🔗 Ver Mapa" xr:uid="{00000000-0004-0000-0000-0000B50A0000}"/>
    <hyperlink ref="L2758" r:id="rId2743" tooltip="🔗 Ver Mapa" display="🔗 Ver Mapa" xr:uid="{00000000-0004-0000-0000-0000B60A0000}"/>
    <hyperlink ref="L2759" r:id="rId2744" tooltip="🔗 Ver Mapa" display="🔗 Ver Mapa" xr:uid="{00000000-0004-0000-0000-0000B70A0000}"/>
    <hyperlink ref="L2760" r:id="rId2745" tooltip="🔗 Ver Mapa" display="🔗 Ver Mapa" xr:uid="{00000000-0004-0000-0000-0000B80A0000}"/>
    <hyperlink ref="L2761" r:id="rId2746" tooltip="🔗 Ver Mapa" display="🔗 Ver Mapa" xr:uid="{00000000-0004-0000-0000-0000B90A0000}"/>
    <hyperlink ref="L2762" r:id="rId2747" tooltip="🔗 Ver Mapa" display="🔗 Ver Mapa" xr:uid="{00000000-0004-0000-0000-0000BA0A0000}"/>
    <hyperlink ref="L2763" r:id="rId2748" tooltip="🔗 Ver Mapa" display="🔗 Ver Mapa" xr:uid="{00000000-0004-0000-0000-0000BB0A0000}"/>
    <hyperlink ref="L2764" r:id="rId2749" tooltip="🔗 Ver Mapa" display="🔗 Ver Mapa" xr:uid="{00000000-0004-0000-0000-0000BC0A0000}"/>
    <hyperlink ref="L2765" r:id="rId2750" tooltip="🔗 Ver Mapa" display="🔗 Ver Mapa" xr:uid="{00000000-0004-0000-0000-0000BD0A0000}"/>
    <hyperlink ref="L2766" r:id="rId2751" tooltip="🔗 Ver Mapa" display="🔗 Ver Mapa" xr:uid="{00000000-0004-0000-0000-0000BE0A0000}"/>
    <hyperlink ref="L2767" r:id="rId2752" tooltip="🔗 Ver Mapa" display="🔗 Ver Mapa" xr:uid="{00000000-0004-0000-0000-0000BF0A0000}"/>
    <hyperlink ref="L2768" r:id="rId2753" tooltip="🔗 Ver Mapa" display="🔗 Ver Mapa" xr:uid="{00000000-0004-0000-0000-0000C00A0000}"/>
    <hyperlink ref="L2769" r:id="rId2754" tooltip="🔗 Ver Mapa" display="🔗 Ver Mapa" xr:uid="{00000000-0004-0000-0000-0000C10A0000}"/>
    <hyperlink ref="L2770" r:id="rId2755" tooltip="🔗 Ver Mapa" display="🔗 Ver Mapa" xr:uid="{00000000-0004-0000-0000-0000C20A0000}"/>
    <hyperlink ref="L2771" r:id="rId2756" tooltip="🔗 Ver Mapa" display="🔗 Ver Mapa" xr:uid="{00000000-0004-0000-0000-0000C30A0000}"/>
    <hyperlink ref="L2772" r:id="rId2757" tooltip="🔗 Ver Mapa" display="🔗 Ver Mapa" xr:uid="{00000000-0004-0000-0000-0000C40A0000}"/>
    <hyperlink ref="L2773" r:id="rId2758" tooltip="🔗 Ver Mapa" display="🔗 Ver Mapa" xr:uid="{00000000-0004-0000-0000-0000C50A0000}"/>
    <hyperlink ref="L2774" r:id="rId2759" tooltip="🔗 Ver Mapa" display="🔗 Ver Mapa" xr:uid="{00000000-0004-0000-0000-0000C60A0000}"/>
    <hyperlink ref="L2775" r:id="rId2760" tooltip="🔗 Ver Mapa" display="🔗 Ver Mapa" xr:uid="{00000000-0004-0000-0000-0000C70A0000}"/>
    <hyperlink ref="L2776" r:id="rId2761" tooltip="🔗 Ver Mapa" display="🔗 Ver Mapa" xr:uid="{00000000-0004-0000-0000-0000C80A0000}"/>
    <hyperlink ref="L2777" r:id="rId2762" tooltip="🔗 Ver Mapa" display="🔗 Ver Mapa" xr:uid="{00000000-0004-0000-0000-0000C90A0000}"/>
    <hyperlink ref="L2778" r:id="rId2763" tooltip="🔗 Ver Mapa" display="🔗 Ver Mapa" xr:uid="{00000000-0004-0000-0000-0000CA0A0000}"/>
    <hyperlink ref="L2779" r:id="rId2764" tooltip="🔗 Ver Mapa" display="🔗 Ver Mapa" xr:uid="{00000000-0004-0000-0000-0000CB0A0000}"/>
    <hyperlink ref="L2780" r:id="rId2765" tooltip="🔗 Ver Mapa" display="🔗 Ver Mapa" xr:uid="{00000000-0004-0000-0000-0000CC0A0000}"/>
    <hyperlink ref="L2781" r:id="rId2766" tooltip="🔗 Ver Mapa" display="🔗 Ver Mapa" xr:uid="{00000000-0004-0000-0000-0000CD0A0000}"/>
    <hyperlink ref="L2782" r:id="rId2767" tooltip="🔗 Ver Mapa" display="🔗 Ver Mapa" xr:uid="{00000000-0004-0000-0000-0000CE0A0000}"/>
    <hyperlink ref="L2783" r:id="rId2768" tooltip="🔗 Ver Mapa" display="🔗 Ver Mapa" xr:uid="{00000000-0004-0000-0000-0000CF0A0000}"/>
    <hyperlink ref="L2784" r:id="rId2769" tooltip="🔗 Ver Mapa" display="🔗 Ver Mapa" xr:uid="{00000000-0004-0000-0000-0000D00A0000}"/>
    <hyperlink ref="L2785" r:id="rId2770" tooltip="🔗 Ver Mapa" display="🔗 Ver Mapa" xr:uid="{00000000-0004-0000-0000-0000D10A0000}"/>
    <hyperlink ref="L2786" r:id="rId2771" tooltip="🔗 Ver Mapa" display="🔗 Ver Mapa" xr:uid="{00000000-0004-0000-0000-0000D20A0000}"/>
    <hyperlink ref="L2787" r:id="rId2772" tooltip="🔗 Ver Mapa" display="🔗 Ver Mapa" xr:uid="{00000000-0004-0000-0000-0000D30A0000}"/>
    <hyperlink ref="L2788" r:id="rId2773" tooltip="🔗 Ver Mapa" display="🔗 Ver Mapa" xr:uid="{00000000-0004-0000-0000-0000D40A0000}"/>
    <hyperlink ref="L2789" r:id="rId2774" tooltip="🔗 Ver Mapa" display="🔗 Ver Mapa" xr:uid="{00000000-0004-0000-0000-0000D50A0000}"/>
    <hyperlink ref="L2790" r:id="rId2775" tooltip="🔗 Ver Mapa" display="🔗 Ver Mapa" xr:uid="{00000000-0004-0000-0000-0000D60A0000}"/>
    <hyperlink ref="L2791" r:id="rId2776" tooltip="🔗 Ver Mapa" display="🔗 Ver Mapa" xr:uid="{00000000-0004-0000-0000-0000D70A0000}"/>
    <hyperlink ref="L2792" r:id="rId2777" tooltip="🔗 Ver Mapa" display="🔗 Ver Mapa" xr:uid="{00000000-0004-0000-0000-0000D80A0000}"/>
    <hyperlink ref="L2793" r:id="rId2778" tooltip="🔗 Ver Mapa" display="🔗 Ver Mapa" xr:uid="{00000000-0004-0000-0000-0000D90A0000}"/>
    <hyperlink ref="L2794" r:id="rId2779" tooltip="🔗 Ver Mapa" display="🔗 Ver Mapa" xr:uid="{00000000-0004-0000-0000-0000DA0A0000}"/>
    <hyperlink ref="L2795" r:id="rId2780" tooltip="🔗 Ver Mapa" display="🔗 Ver Mapa" xr:uid="{00000000-0004-0000-0000-0000DB0A0000}"/>
    <hyperlink ref="L2796" r:id="rId2781" tooltip="🔗 Ver Mapa" display="🔗 Ver Mapa" xr:uid="{00000000-0004-0000-0000-0000DC0A0000}"/>
    <hyperlink ref="L2797" r:id="rId2782" tooltip="🔗 Ver Mapa" display="🔗 Ver Mapa" xr:uid="{00000000-0004-0000-0000-0000DD0A0000}"/>
    <hyperlink ref="L2798" r:id="rId2783" tooltip="🔗 Ver Mapa" display="🔗 Ver Mapa" xr:uid="{00000000-0004-0000-0000-0000DE0A0000}"/>
    <hyperlink ref="L2799" r:id="rId2784" tooltip="🔗 Ver Mapa" display="🔗 Ver Mapa" xr:uid="{00000000-0004-0000-0000-0000DF0A0000}"/>
    <hyperlink ref="L2800" r:id="rId2785" tooltip="🔗 Ver Mapa" display="🔗 Ver Mapa" xr:uid="{00000000-0004-0000-0000-0000E00A0000}"/>
    <hyperlink ref="L2801" r:id="rId2786" tooltip="🔗 Ver Mapa" display="🔗 Ver Mapa" xr:uid="{00000000-0004-0000-0000-0000E10A0000}"/>
    <hyperlink ref="L2802" r:id="rId2787" tooltip="🔗 Ver Mapa" display="🔗 Ver Mapa" xr:uid="{00000000-0004-0000-0000-0000E20A0000}"/>
    <hyperlink ref="L2803" r:id="rId2788" tooltip="🔗 Ver Mapa" display="🔗 Ver Mapa" xr:uid="{00000000-0004-0000-0000-0000E30A0000}"/>
    <hyperlink ref="L2804" r:id="rId2789" tooltip="🔗 Ver Mapa" display="🔗 Ver Mapa" xr:uid="{00000000-0004-0000-0000-0000E40A0000}"/>
    <hyperlink ref="L2805" r:id="rId2790" tooltip="🔗 Ver Mapa" display="🔗 Ver Mapa" xr:uid="{00000000-0004-0000-0000-0000E50A0000}"/>
    <hyperlink ref="L2806" r:id="rId2791" tooltip="🔗 Ver Mapa" display="🔗 Ver Mapa" xr:uid="{00000000-0004-0000-0000-0000E60A0000}"/>
    <hyperlink ref="L2807" r:id="rId2792" tooltip="🔗 Ver Mapa" display="🔗 Ver Mapa" xr:uid="{00000000-0004-0000-0000-0000E70A0000}"/>
    <hyperlink ref="L2808" r:id="rId2793" tooltip="🔗 Ver Mapa" display="🔗 Ver Mapa" xr:uid="{00000000-0004-0000-0000-0000E80A0000}"/>
    <hyperlink ref="L2809" r:id="rId2794" tooltip="🔗 Ver Mapa" display="🔗 Ver Mapa" xr:uid="{00000000-0004-0000-0000-0000E90A0000}"/>
    <hyperlink ref="L2810" r:id="rId2795" tooltip="🔗 Ver Mapa" display="🔗 Ver Mapa" xr:uid="{00000000-0004-0000-0000-0000EA0A0000}"/>
    <hyperlink ref="L2811" r:id="rId2796" tooltip="🔗 Ver Mapa" display="🔗 Ver Mapa" xr:uid="{00000000-0004-0000-0000-0000EB0A0000}"/>
    <hyperlink ref="L2812" r:id="rId2797" tooltip="🔗 Ver Mapa" display="🔗 Ver Mapa" xr:uid="{00000000-0004-0000-0000-0000EC0A0000}"/>
    <hyperlink ref="L2813" r:id="rId2798" tooltip="🔗 Ver Mapa" display="🔗 Ver Mapa" xr:uid="{00000000-0004-0000-0000-0000ED0A0000}"/>
    <hyperlink ref="L2814" r:id="rId2799" tooltip="🔗 Ver Mapa" display="🔗 Ver Mapa" xr:uid="{00000000-0004-0000-0000-0000EE0A0000}"/>
    <hyperlink ref="L2815" r:id="rId2800" tooltip="🔗 Ver Mapa" display="🔗 Ver Mapa" xr:uid="{00000000-0004-0000-0000-0000EF0A0000}"/>
    <hyperlink ref="L2816" r:id="rId2801" tooltip="🔗 Ver Mapa" display="🔗 Ver Mapa" xr:uid="{00000000-0004-0000-0000-0000F00A0000}"/>
    <hyperlink ref="L2817" r:id="rId2802" tooltip="🔗 Ver Mapa" display="🔗 Ver Mapa" xr:uid="{00000000-0004-0000-0000-0000F10A0000}"/>
    <hyperlink ref="L2818" r:id="rId2803" tooltip="🔗 Ver Mapa" display="🔗 Ver Mapa" xr:uid="{00000000-0004-0000-0000-0000F20A0000}"/>
    <hyperlink ref="L2819" r:id="rId2804" tooltip="🔗 Ver Mapa" display="🔗 Ver Mapa" xr:uid="{00000000-0004-0000-0000-0000F30A0000}"/>
    <hyperlink ref="L2820" r:id="rId2805" tooltip="🔗 Ver Mapa" display="🔗 Ver Mapa" xr:uid="{00000000-0004-0000-0000-0000F40A0000}"/>
    <hyperlink ref="L2821" r:id="rId2806" tooltip="🔗 Ver Mapa" display="🔗 Ver Mapa" xr:uid="{00000000-0004-0000-0000-0000F50A0000}"/>
    <hyperlink ref="L2822" r:id="rId2807" tooltip="🔗 Ver Mapa" display="🔗 Ver Mapa" xr:uid="{00000000-0004-0000-0000-0000F60A0000}"/>
    <hyperlink ref="L2823" r:id="rId2808" tooltip="🔗 Ver Mapa" display="🔗 Ver Mapa" xr:uid="{00000000-0004-0000-0000-0000F70A0000}"/>
    <hyperlink ref="L2824" r:id="rId2809" tooltip="🔗 Ver Mapa" display="🔗 Ver Mapa" xr:uid="{00000000-0004-0000-0000-0000F80A0000}"/>
    <hyperlink ref="L2825" r:id="rId2810" tooltip="🔗 Ver Mapa" display="🔗 Ver Mapa" xr:uid="{00000000-0004-0000-0000-0000F90A0000}"/>
    <hyperlink ref="L2826" r:id="rId2811" tooltip="🔗 Ver Mapa" display="🔗 Ver Mapa" xr:uid="{00000000-0004-0000-0000-0000FA0A0000}"/>
    <hyperlink ref="L2827" r:id="rId2812" tooltip="🔗 Ver Mapa" display="🔗 Ver Mapa" xr:uid="{00000000-0004-0000-0000-0000FB0A0000}"/>
    <hyperlink ref="L2828" r:id="rId2813" tooltip="🔗 Ver Mapa" display="🔗 Ver Mapa" xr:uid="{00000000-0004-0000-0000-0000FC0A0000}"/>
    <hyperlink ref="L2831" r:id="rId2814" tooltip="🔗 Ver Mapa" display="🔗 Ver Mapa" xr:uid="{00000000-0004-0000-0000-0000FD0A0000}"/>
    <hyperlink ref="L2832" r:id="rId2815" tooltip="🔗 Ver Mapa" display="🔗 Ver Mapa" xr:uid="{00000000-0004-0000-0000-0000FE0A0000}"/>
    <hyperlink ref="L2833" r:id="rId2816" tooltip="🔗 Ver Mapa" display="🔗 Ver Mapa" xr:uid="{00000000-0004-0000-0000-0000FF0A0000}"/>
    <hyperlink ref="L2835" r:id="rId2817" tooltip="🔗 Ver Mapa" display="🔗 Ver Mapa" xr:uid="{00000000-0004-0000-0000-0000000B0000}"/>
    <hyperlink ref="L2836" r:id="rId2818" tooltip="🔗 Ver Mapa" display="🔗 Ver Mapa" xr:uid="{00000000-0004-0000-0000-0000010B0000}"/>
    <hyperlink ref="L2837" r:id="rId2819" tooltip="🔗 Ver Mapa" display="🔗 Ver Mapa" xr:uid="{00000000-0004-0000-0000-0000020B0000}"/>
    <hyperlink ref="L2838" r:id="rId2820" tooltip="🔗 Ver Mapa" display="🔗 Ver Mapa" xr:uid="{00000000-0004-0000-0000-0000030B0000}"/>
    <hyperlink ref="L2839" r:id="rId2821" tooltip="🔗 Ver Mapa" display="🔗 Ver Mapa" xr:uid="{00000000-0004-0000-0000-0000040B0000}"/>
    <hyperlink ref="L2840" r:id="rId2822" tooltip="🔗 Ver Mapa" display="🔗 Ver Mapa" xr:uid="{00000000-0004-0000-0000-0000050B0000}"/>
    <hyperlink ref="L2841" r:id="rId2823" tooltip="🔗 Ver Mapa" display="🔗 Ver Mapa" xr:uid="{00000000-0004-0000-0000-0000060B0000}"/>
    <hyperlink ref="L2842" r:id="rId2824" tooltip="🔗 Ver Mapa" display="🔗 Ver Mapa" xr:uid="{00000000-0004-0000-0000-0000070B0000}"/>
    <hyperlink ref="L2843" r:id="rId2825" tooltip="🔗 Ver Mapa" display="🔗 Ver Mapa" xr:uid="{00000000-0004-0000-0000-0000080B0000}"/>
    <hyperlink ref="L2844" r:id="rId2826" tooltip="🔗 Ver Mapa" display="🔗 Ver Mapa" xr:uid="{00000000-0004-0000-0000-0000090B0000}"/>
    <hyperlink ref="L2846" r:id="rId2827" tooltip="🔗 Ver Mapa" display="🔗 Ver Mapa" xr:uid="{00000000-0004-0000-0000-00000A0B0000}"/>
    <hyperlink ref="L2847" r:id="rId2828" tooltip="🔗 Ver Mapa" display="🔗 Ver Mapa" xr:uid="{00000000-0004-0000-0000-00000B0B0000}"/>
    <hyperlink ref="L2848" r:id="rId2829" tooltip="🔗 Ver Mapa" display="🔗 Ver Mapa" xr:uid="{00000000-0004-0000-0000-00000C0B0000}"/>
    <hyperlink ref="L2850" r:id="rId2830" tooltip="🔗 Ver Mapa" display="🔗 Ver Mapa" xr:uid="{00000000-0004-0000-0000-00000D0B0000}"/>
    <hyperlink ref="L2851" r:id="rId2831" tooltip="🔗 Ver Mapa" display="🔗 Ver Mapa" xr:uid="{00000000-0004-0000-0000-00000E0B0000}"/>
    <hyperlink ref="L2852" r:id="rId2832" tooltip="🔗 Ver Mapa" display="🔗 Ver Mapa" xr:uid="{00000000-0004-0000-0000-00000F0B0000}"/>
    <hyperlink ref="L2853" r:id="rId2833" tooltip="🔗 Ver Mapa" display="🔗 Ver Mapa" xr:uid="{00000000-0004-0000-0000-0000100B0000}"/>
    <hyperlink ref="L2854" r:id="rId2834" tooltip="🔗 Ver Mapa" display="🔗 Ver Mapa" xr:uid="{00000000-0004-0000-0000-0000110B0000}"/>
    <hyperlink ref="L2855" r:id="rId2835" tooltip="🔗 Ver Mapa" display="🔗 Ver Mapa" xr:uid="{00000000-0004-0000-0000-0000120B0000}"/>
    <hyperlink ref="L2856" r:id="rId2836" tooltip="🔗 Ver Mapa" display="🔗 Ver Mapa" xr:uid="{00000000-0004-0000-0000-0000130B0000}"/>
    <hyperlink ref="L2857" r:id="rId2837" tooltip="🔗 Ver Mapa" display="🔗 Ver Mapa" xr:uid="{00000000-0004-0000-0000-0000140B0000}"/>
    <hyperlink ref="L2858" r:id="rId2838" tooltip="🔗 Ver Mapa" display="🔗 Ver Mapa" xr:uid="{00000000-0004-0000-0000-0000150B0000}"/>
    <hyperlink ref="L2859" r:id="rId2839" tooltip="🔗 Ver Mapa" display="🔗 Ver Mapa" xr:uid="{00000000-0004-0000-0000-0000160B0000}"/>
    <hyperlink ref="L2860" r:id="rId2840" tooltip="🔗 Ver Mapa" display="🔗 Ver Mapa" xr:uid="{00000000-0004-0000-0000-0000170B0000}"/>
    <hyperlink ref="L2861" r:id="rId2841" tooltip="🔗 Ver Mapa" display="🔗 Ver Mapa" xr:uid="{00000000-0004-0000-0000-0000180B0000}"/>
    <hyperlink ref="L2862" r:id="rId2842" tooltip="🔗 Ver Mapa" display="🔗 Ver Mapa" xr:uid="{00000000-0004-0000-0000-0000190B0000}"/>
    <hyperlink ref="L2863" r:id="rId2843" tooltip="🔗 Ver Mapa" display="🔗 Ver Mapa" xr:uid="{00000000-0004-0000-0000-00001A0B0000}"/>
    <hyperlink ref="L2864" r:id="rId2844" tooltip="🔗 Ver Mapa" display="🔗 Ver Mapa" xr:uid="{00000000-0004-0000-0000-00001B0B0000}"/>
    <hyperlink ref="L2865" r:id="rId2845" tooltip="🔗 Ver Mapa" display="🔗 Ver Mapa" xr:uid="{00000000-0004-0000-0000-00001C0B0000}"/>
    <hyperlink ref="L2866" r:id="rId2846" tooltip="🔗 Ver Mapa" display="🔗 Ver Mapa" xr:uid="{00000000-0004-0000-0000-00001D0B0000}"/>
    <hyperlink ref="L2867" r:id="rId2847" tooltip="🔗 Ver Mapa" display="🔗 Ver Mapa" xr:uid="{00000000-0004-0000-0000-00001E0B0000}"/>
    <hyperlink ref="L2868" r:id="rId2848" tooltip="🔗 Ver Mapa" display="🔗 Ver Mapa" xr:uid="{00000000-0004-0000-0000-00001F0B0000}"/>
    <hyperlink ref="L2869" r:id="rId2849" tooltip="🔗 Ver Mapa" display="🔗 Ver Mapa" xr:uid="{00000000-0004-0000-0000-0000200B0000}"/>
    <hyperlink ref="L2870" r:id="rId2850" tooltip="🔗 Ver Mapa" display="🔗 Ver Mapa" xr:uid="{00000000-0004-0000-0000-0000210B0000}"/>
    <hyperlink ref="L2871" r:id="rId2851" tooltip="🔗 Ver Mapa" display="🔗 Ver Mapa" xr:uid="{00000000-0004-0000-0000-0000220B0000}"/>
    <hyperlink ref="L2872" r:id="rId2852" tooltip="🔗 Ver Mapa" display="🔗 Ver Mapa" xr:uid="{00000000-0004-0000-0000-0000230B0000}"/>
    <hyperlink ref="L2873" r:id="rId2853" tooltip="🔗 Ver Mapa" display="🔗 Ver Mapa" xr:uid="{00000000-0004-0000-0000-0000240B0000}"/>
    <hyperlink ref="L2874" r:id="rId2854" tooltip="🔗 Ver Mapa" display="🔗 Ver Mapa" xr:uid="{00000000-0004-0000-0000-0000250B0000}"/>
    <hyperlink ref="L2875" r:id="rId2855" tooltip="🔗 Ver Mapa" display="🔗 Ver Mapa" xr:uid="{00000000-0004-0000-0000-0000260B0000}"/>
    <hyperlink ref="L2876" r:id="rId2856" tooltip="🔗 Ver Mapa" display="🔗 Ver Mapa" xr:uid="{00000000-0004-0000-0000-0000270B0000}"/>
    <hyperlink ref="L2877" r:id="rId2857" tooltip="🔗 Ver Mapa" display="🔗 Ver Mapa" xr:uid="{00000000-0004-0000-0000-0000280B0000}"/>
    <hyperlink ref="L2878" r:id="rId2858" tooltip="🔗 Ver Mapa" display="🔗 Ver Mapa" xr:uid="{00000000-0004-0000-0000-0000290B0000}"/>
    <hyperlink ref="L2879" r:id="rId2859" tooltip="🔗 Ver Mapa" display="🔗 Ver Mapa" xr:uid="{00000000-0004-0000-0000-00002A0B0000}"/>
    <hyperlink ref="L2880" r:id="rId2860" tooltip="🔗 Ver Mapa" display="🔗 Ver Mapa" xr:uid="{00000000-0004-0000-0000-00002B0B0000}"/>
    <hyperlink ref="L2881" r:id="rId2861" tooltip="🔗 Ver Mapa" display="🔗 Ver Mapa" xr:uid="{00000000-0004-0000-0000-00002C0B0000}"/>
    <hyperlink ref="L2882" r:id="rId2862" tooltip="🔗 Ver Mapa" display="🔗 Ver Mapa" xr:uid="{00000000-0004-0000-0000-00002D0B0000}"/>
    <hyperlink ref="L2883" r:id="rId2863" tooltip="🔗 Ver Mapa" display="🔗 Ver Mapa" xr:uid="{00000000-0004-0000-0000-00002E0B0000}"/>
    <hyperlink ref="L2884" r:id="rId2864" tooltip="🔗 Ver Mapa" display="🔗 Ver Mapa" xr:uid="{00000000-0004-0000-0000-00002F0B0000}"/>
    <hyperlink ref="L2885" r:id="rId2865" tooltip="🔗 Ver Mapa" display="🔗 Ver Mapa" xr:uid="{00000000-0004-0000-0000-0000300B0000}"/>
    <hyperlink ref="L2886" r:id="rId2866" tooltip="🔗 Ver Mapa" display="🔗 Ver Mapa" xr:uid="{00000000-0004-0000-0000-0000310B0000}"/>
    <hyperlink ref="L2887" r:id="rId2867" tooltip="🔗 Ver Mapa" display="🔗 Ver Mapa" xr:uid="{00000000-0004-0000-0000-0000320B0000}"/>
    <hyperlink ref="L2888" r:id="rId2868" tooltip="🔗 Ver Mapa" display="🔗 Ver Mapa" xr:uid="{00000000-0004-0000-0000-0000330B0000}"/>
    <hyperlink ref="L2889" r:id="rId2869" tooltip="🔗 Ver Mapa" display="🔗 Ver Mapa" xr:uid="{00000000-0004-0000-0000-0000340B0000}"/>
    <hyperlink ref="L2890" r:id="rId2870" tooltip="🔗 Ver Mapa" display="🔗 Ver Mapa" xr:uid="{00000000-0004-0000-0000-0000350B0000}"/>
    <hyperlink ref="L2891" r:id="rId2871" tooltip="🔗 Ver Mapa" display="🔗 Ver Mapa" xr:uid="{00000000-0004-0000-0000-0000360B0000}"/>
    <hyperlink ref="L2892" r:id="rId2872" tooltip="🔗 Ver Mapa" display="🔗 Ver Mapa" xr:uid="{00000000-0004-0000-0000-0000370B0000}"/>
    <hyperlink ref="L2893" r:id="rId2873" tooltip="🔗 Ver Mapa" display="🔗 Ver Mapa" xr:uid="{00000000-0004-0000-0000-0000380B0000}"/>
    <hyperlink ref="L2894" r:id="rId2874" tooltip="🔗 Ver Mapa" display="🔗 Ver Mapa" xr:uid="{00000000-0004-0000-0000-0000390B0000}"/>
    <hyperlink ref="L2895" r:id="rId2875" tooltip="🔗 Ver Mapa" display="🔗 Ver Mapa" xr:uid="{00000000-0004-0000-0000-00003A0B0000}"/>
    <hyperlink ref="L2896" r:id="rId2876" tooltip="🔗 Ver Mapa" display="🔗 Ver Mapa" xr:uid="{00000000-0004-0000-0000-00003B0B0000}"/>
    <hyperlink ref="L2897" r:id="rId2877" tooltip="🔗 Ver Mapa" display="🔗 Ver Mapa" xr:uid="{00000000-0004-0000-0000-00003C0B0000}"/>
    <hyperlink ref="L2898" r:id="rId2878" tooltip="🔗 Ver Mapa" display="🔗 Ver Mapa" xr:uid="{00000000-0004-0000-0000-00003D0B0000}"/>
    <hyperlink ref="L2899" r:id="rId2879" tooltip="🔗 Ver Mapa" display="🔗 Ver Mapa" xr:uid="{00000000-0004-0000-0000-00003E0B0000}"/>
    <hyperlink ref="L2900" r:id="rId2880" tooltip="🔗 Ver Mapa" display="🔗 Ver Mapa" xr:uid="{00000000-0004-0000-0000-00003F0B0000}"/>
    <hyperlink ref="L2901" r:id="rId2881" tooltip="🔗 Ver Mapa" display="🔗 Ver Mapa" xr:uid="{00000000-0004-0000-0000-0000400B0000}"/>
    <hyperlink ref="L2902" r:id="rId2882" tooltip="🔗 Ver Mapa" display="🔗 Ver Mapa" xr:uid="{00000000-0004-0000-0000-0000410B0000}"/>
    <hyperlink ref="L2903" r:id="rId2883" tooltip="🔗 Ver Mapa" display="🔗 Ver Mapa" xr:uid="{00000000-0004-0000-0000-0000420B0000}"/>
    <hyperlink ref="L2904" r:id="rId2884" tooltip="🔗 Ver Mapa" display="🔗 Ver Mapa" xr:uid="{00000000-0004-0000-0000-0000430B0000}"/>
    <hyperlink ref="L2905" r:id="rId2885" tooltip="🔗 Ver Mapa" display="🔗 Ver Mapa" xr:uid="{00000000-0004-0000-0000-0000440B0000}"/>
    <hyperlink ref="L2906" r:id="rId2886" tooltip="🔗 Ver Mapa" display="🔗 Ver Mapa" xr:uid="{00000000-0004-0000-0000-0000450B0000}"/>
    <hyperlink ref="L2907" r:id="rId2887" tooltip="🔗 Ver Mapa" display="🔗 Ver Mapa" xr:uid="{00000000-0004-0000-0000-0000460B0000}"/>
    <hyperlink ref="L2908" r:id="rId2888" tooltip="🔗 Ver Mapa" display="🔗 Ver Mapa" xr:uid="{00000000-0004-0000-0000-0000470B0000}"/>
    <hyperlink ref="L2909" r:id="rId2889" tooltip="🔗 Ver Mapa" display="🔗 Ver Mapa" xr:uid="{00000000-0004-0000-0000-0000480B0000}"/>
    <hyperlink ref="L2910" r:id="rId2890" tooltip="🔗 Ver Mapa" display="🔗 Ver Mapa" xr:uid="{00000000-0004-0000-0000-0000490B0000}"/>
    <hyperlink ref="L2911" r:id="rId2891" tooltip="🔗 Ver Mapa" display="🔗 Ver Mapa" xr:uid="{00000000-0004-0000-0000-00004A0B0000}"/>
    <hyperlink ref="L2912" r:id="rId2892" tooltip="🔗 Ver Mapa" display="🔗 Ver Mapa" xr:uid="{00000000-0004-0000-0000-00004B0B0000}"/>
    <hyperlink ref="L2913" r:id="rId2893" tooltip="🔗 Ver Mapa" display="🔗 Ver Mapa" xr:uid="{00000000-0004-0000-0000-00004C0B0000}"/>
    <hyperlink ref="L2914" r:id="rId2894" tooltip="🔗 Ver Mapa" display="🔗 Ver Mapa" xr:uid="{00000000-0004-0000-0000-00004D0B0000}"/>
    <hyperlink ref="L2915" r:id="rId2895" tooltip="🔗 Ver Mapa" display="🔗 Ver Mapa" xr:uid="{00000000-0004-0000-0000-00004E0B0000}"/>
    <hyperlink ref="L2916" r:id="rId2896" tooltip="🔗 Ver Mapa" display="🔗 Ver Mapa" xr:uid="{00000000-0004-0000-0000-00004F0B0000}"/>
    <hyperlink ref="L2917" r:id="rId2897" tooltip="🔗 Ver Mapa" display="🔗 Ver Mapa" xr:uid="{00000000-0004-0000-0000-0000500B0000}"/>
    <hyperlink ref="L2918" r:id="rId2898" tooltip="🔗 Ver Mapa" display="🔗 Ver Mapa" xr:uid="{00000000-0004-0000-0000-0000510B0000}"/>
    <hyperlink ref="L2919" r:id="rId2899" tooltip="🔗 Ver Mapa" display="🔗 Ver Mapa" xr:uid="{00000000-0004-0000-0000-0000520B0000}"/>
    <hyperlink ref="L2920" r:id="rId2900" tooltip="🔗 Ver Mapa" display="🔗 Ver Mapa" xr:uid="{00000000-0004-0000-0000-0000530B0000}"/>
    <hyperlink ref="L2921" r:id="rId2901" tooltip="🔗 Ver Mapa" display="🔗 Ver Mapa" xr:uid="{00000000-0004-0000-0000-0000540B0000}"/>
    <hyperlink ref="L2922" r:id="rId2902" tooltip="🔗 Ver Mapa" display="🔗 Ver Mapa" xr:uid="{00000000-0004-0000-0000-0000550B0000}"/>
    <hyperlink ref="L2923" r:id="rId2903" tooltip="🔗 Ver Mapa" display="🔗 Ver Mapa" xr:uid="{00000000-0004-0000-0000-0000560B0000}"/>
    <hyperlink ref="L2924" r:id="rId2904" tooltip="🔗 Ver Mapa" display="🔗 Ver Mapa" xr:uid="{00000000-0004-0000-0000-0000570B0000}"/>
    <hyperlink ref="L2925" r:id="rId2905" tooltip="🔗 Ver Mapa" display="🔗 Ver Mapa" xr:uid="{00000000-0004-0000-0000-0000580B0000}"/>
    <hyperlink ref="L2926" r:id="rId2906" tooltip="🔗 Ver Mapa" display="🔗 Ver Mapa" xr:uid="{00000000-0004-0000-0000-0000590B0000}"/>
    <hyperlink ref="L2927" r:id="rId2907" tooltip="🔗 Ver Mapa" display="🔗 Ver Mapa" xr:uid="{00000000-0004-0000-0000-00005A0B0000}"/>
    <hyperlink ref="L2928" r:id="rId2908" tooltip="🔗 Ver Mapa" display="🔗 Ver Mapa" xr:uid="{00000000-0004-0000-0000-00005B0B0000}"/>
    <hyperlink ref="L2929" r:id="rId2909" tooltip="🔗 Ver Mapa" display="🔗 Ver Mapa" xr:uid="{00000000-0004-0000-0000-00005C0B0000}"/>
    <hyperlink ref="L2930" r:id="rId2910" tooltip="🔗 Ver Mapa" display="🔗 Ver Mapa" xr:uid="{00000000-0004-0000-0000-00005D0B0000}"/>
    <hyperlink ref="L2931" r:id="rId2911" tooltip="🔗 Ver Mapa" display="🔗 Ver Mapa" xr:uid="{00000000-0004-0000-0000-00005E0B0000}"/>
    <hyperlink ref="L2932" r:id="rId2912" tooltip="🔗 Ver Mapa" display="🔗 Ver Mapa" xr:uid="{00000000-0004-0000-0000-00005F0B0000}"/>
    <hyperlink ref="L2933" r:id="rId2913" tooltip="🔗 Ver Mapa" display="🔗 Ver Mapa" xr:uid="{00000000-0004-0000-0000-0000600B0000}"/>
    <hyperlink ref="L2934" r:id="rId2914" tooltip="🔗 Ver Mapa" display="🔗 Ver Mapa" xr:uid="{00000000-0004-0000-0000-0000610B0000}"/>
    <hyperlink ref="L2935" r:id="rId2915" tooltip="🔗 Ver Mapa" display="🔗 Ver Mapa" xr:uid="{00000000-0004-0000-0000-0000620B0000}"/>
    <hyperlink ref="L2936" r:id="rId2916" tooltip="🔗 Ver Mapa" display="🔗 Ver Mapa" xr:uid="{00000000-0004-0000-0000-0000630B0000}"/>
    <hyperlink ref="L2937" r:id="rId2917" tooltip="🔗 Ver Mapa" display="🔗 Ver Mapa" xr:uid="{00000000-0004-0000-0000-0000640B0000}"/>
    <hyperlink ref="L2938" r:id="rId2918" tooltip="🔗 Ver Mapa" display="🔗 Ver Mapa" xr:uid="{00000000-0004-0000-0000-0000650B0000}"/>
    <hyperlink ref="L2939" r:id="rId2919" tooltip="🔗 Ver Mapa" display="🔗 Ver Mapa" xr:uid="{00000000-0004-0000-0000-0000660B0000}"/>
    <hyperlink ref="L2940" r:id="rId2920" tooltip="🔗 Ver Mapa" display="🔗 Ver Mapa" xr:uid="{00000000-0004-0000-0000-0000670B0000}"/>
    <hyperlink ref="L2941" r:id="rId2921" tooltip="🔗 Ver Mapa" display="🔗 Ver Mapa" xr:uid="{00000000-0004-0000-0000-0000680B0000}"/>
    <hyperlink ref="L2942" r:id="rId2922" tooltip="🔗 Ver Mapa" display="🔗 Ver Mapa" xr:uid="{00000000-0004-0000-0000-0000690B0000}"/>
    <hyperlink ref="L2943" r:id="rId2923" tooltip="🔗 Ver Mapa" display="🔗 Ver Mapa" xr:uid="{00000000-0004-0000-0000-00006A0B0000}"/>
    <hyperlink ref="L2944" r:id="rId2924" tooltip="🔗 Ver Mapa" display="🔗 Ver Mapa" xr:uid="{00000000-0004-0000-0000-00006B0B0000}"/>
    <hyperlink ref="L2945" r:id="rId2925" tooltip="🔗 Ver Mapa" display="🔗 Ver Mapa" xr:uid="{00000000-0004-0000-0000-00006C0B0000}"/>
    <hyperlink ref="L2946" r:id="rId2926" tooltip="🔗 Ver Mapa" display="🔗 Ver Mapa" xr:uid="{00000000-0004-0000-0000-00006D0B0000}"/>
    <hyperlink ref="L2947" r:id="rId2927" tooltip="🔗 Ver Mapa" display="🔗 Ver Mapa" xr:uid="{00000000-0004-0000-0000-00006E0B0000}"/>
    <hyperlink ref="L2948" r:id="rId2928" tooltip="🔗 Ver Mapa" display="🔗 Ver Mapa" xr:uid="{00000000-0004-0000-0000-00006F0B0000}"/>
    <hyperlink ref="L2949" r:id="rId2929" tooltip="🔗 Ver Mapa" display="🔗 Ver Mapa" xr:uid="{00000000-0004-0000-0000-0000700B0000}"/>
    <hyperlink ref="L2950" r:id="rId2930" tooltip="🔗 Ver Mapa" display="🔗 Ver Mapa" xr:uid="{00000000-0004-0000-0000-0000710B0000}"/>
    <hyperlink ref="L2951" r:id="rId2931" tooltip="🔗 Ver Mapa" display="🔗 Ver Mapa" xr:uid="{00000000-0004-0000-0000-0000720B0000}"/>
    <hyperlink ref="L2952" r:id="rId2932" tooltip="🔗 Ver Mapa" display="🔗 Ver Mapa" xr:uid="{00000000-0004-0000-0000-0000730B0000}"/>
    <hyperlink ref="L2953" r:id="rId2933" tooltip="🔗 Ver Mapa" display="🔗 Ver Mapa" xr:uid="{00000000-0004-0000-0000-0000740B0000}"/>
    <hyperlink ref="L2954" r:id="rId2934" tooltip="🔗 Ver Mapa" display="🔗 Ver Mapa" xr:uid="{00000000-0004-0000-0000-0000750B0000}"/>
    <hyperlink ref="L2955" r:id="rId2935" tooltip="🔗 Ver Mapa" display="🔗 Ver Mapa" xr:uid="{00000000-0004-0000-0000-0000760B0000}"/>
    <hyperlink ref="L2956" r:id="rId2936" tooltip="🔗 Ver Mapa" display="🔗 Ver Mapa" xr:uid="{00000000-0004-0000-0000-0000770B0000}"/>
    <hyperlink ref="L2957" r:id="rId2937" tooltip="🔗 Ver Mapa" display="🔗 Ver Mapa" xr:uid="{00000000-0004-0000-0000-0000780B0000}"/>
    <hyperlink ref="L2958" r:id="rId2938" tooltip="🔗 Ver Mapa" display="🔗 Ver Mapa" xr:uid="{00000000-0004-0000-0000-0000790B0000}"/>
    <hyperlink ref="L2959" r:id="rId2939" tooltip="🔗 Ver Mapa" display="🔗 Ver Mapa" xr:uid="{00000000-0004-0000-0000-00007A0B0000}"/>
    <hyperlink ref="L2960" r:id="rId2940" tooltip="🔗 Ver Mapa" display="🔗 Ver Mapa" xr:uid="{00000000-0004-0000-0000-00007B0B0000}"/>
    <hyperlink ref="L2961" r:id="rId2941" tooltip="🔗 Ver Mapa" display="🔗 Ver Mapa" xr:uid="{00000000-0004-0000-0000-00007C0B0000}"/>
    <hyperlink ref="L2962" r:id="rId2942" tooltip="🔗 Ver Mapa" display="🔗 Ver Mapa" xr:uid="{00000000-0004-0000-0000-00007D0B0000}"/>
    <hyperlink ref="L2963" r:id="rId2943" tooltip="🔗 Ver Mapa" display="🔗 Ver Mapa" xr:uid="{00000000-0004-0000-0000-00007E0B0000}"/>
    <hyperlink ref="L2964" r:id="rId2944" tooltip="🔗 Ver Mapa" display="🔗 Ver Mapa" xr:uid="{00000000-0004-0000-0000-00007F0B0000}"/>
    <hyperlink ref="L2965" r:id="rId2945" tooltip="🔗 Ver Mapa" display="🔗 Ver Mapa" xr:uid="{00000000-0004-0000-0000-0000800B0000}"/>
    <hyperlink ref="L2966" r:id="rId2946" tooltip="🔗 Ver Mapa" display="🔗 Ver Mapa" xr:uid="{00000000-0004-0000-0000-0000810B0000}"/>
    <hyperlink ref="L2967" r:id="rId2947" tooltip="🔗 Ver Mapa" display="🔗 Ver Mapa" xr:uid="{00000000-0004-0000-0000-0000820B0000}"/>
    <hyperlink ref="L2968" r:id="rId2948" tooltip="🔗 Ver Mapa" display="🔗 Ver Mapa" xr:uid="{00000000-0004-0000-0000-0000830B0000}"/>
    <hyperlink ref="L2969" r:id="rId2949" tooltip="🔗 Ver Mapa" display="🔗 Ver Mapa" xr:uid="{00000000-0004-0000-0000-0000840B0000}"/>
    <hyperlink ref="L2970" r:id="rId2950" tooltip="🔗 Ver Mapa" display="🔗 Ver Mapa" xr:uid="{00000000-0004-0000-0000-0000850B0000}"/>
    <hyperlink ref="L2971" r:id="rId2951" tooltip="🔗 Ver Mapa" display="🔗 Ver Mapa" xr:uid="{00000000-0004-0000-0000-0000860B0000}"/>
    <hyperlink ref="L2972" r:id="rId2952" tooltip="🔗 Ver Mapa" display="🔗 Ver Mapa" xr:uid="{00000000-0004-0000-0000-0000870B0000}"/>
    <hyperlink ref="L2973" r:id="rId2953" tooltip="🔗 Ver Mapa" display="🔗 Ver Mapa" xr:uid="{00000000-0004-0000-0000-0000880B0000}"/>
    <hyperlink ref="L2974" r:id="rId2954" tooltip="🔗 Ver Mapa" display="🔗 Ver Mapa" xr:uid="{00000000-0004-0000-0000-0000890B0000}"/>
    <hyperlink ref="L2975" r:id="rId2955" tooltip="🔗 Ver Mapa" display="🔗 Ver Mapa" xr:uid="{00000000-0004-0000-0000-00008A0B0000}"/>
    <hyperlink ref="L2976" r:id="rId2956" tooltip="🔗 Ver Mapa" display="🔗 Ver Mapa" xr:uid="{00000000-0004-0000-0000-00008B0B0000}"/>
    <hyperlink ref="L2977" r:id="rId2957" tooltip="🔗 Ver Mapa" display="🔗 Ver Mapa" xr:uid="{00000000-0004-0000-0000-00008C0B0000}"/>
    <hyperlink ref="L2978" r:id="rId2958" tooltip="🔗 Ver Mapa" display="🔗 Ver Mapa" xr:uid="{00000000-0004-0000-0000-00008D0B0000}"/>
    <hyperlink ref="L2979" r:id="rId2959" tooltip="🔗 Ver Mapa" display="🔗 Ver Mapa" xr:uid="{00000000-0004-0000-0000-00008E0B0000}"/>
    <hyperlink ref="L2980" r:id="rId2960" tooltip="🔗 Ver Mapa" display="🔗 Ver Mapa" xr:uid="{00000000-0004-0000-0000-00008F0B0000}"/>
    <hyperlink ref="L2981" r:id="rId2961" tooltip="🔗 Ver Mapa" display="🔗 Ver Mapa" xr:uid="{00000000-0004-0000-0000-0000900B0000}"/>
    <hyperlink ref="L2982" r:id="rId2962" tooltip="🔗 Ver Mapa" display="🔗 Ver Mapa" xr:uid="{00000000-0004-0000-0000-0000910B0000}"/>
    <hyperlink ref="L2983" r:id="rId2963" tooltip="🔗 Ver Mapa" display="🔗 Ver Mapa" xr:uid="{00000000-0004-0000-0000-0000920B0000}"/>
    <hyperlink ref="L2984" r:id="rId2964" tooltip="🔗 Ver Mapa" display="🔗 Ver Mapa" xr:uid="{00000000-0004-0000-0000-0000930B0000}"/>
    <hyperlink ref="L2985" r:id="rId2965" tooltip="🔗 Ver Mapa" display="🔗 Ver Mapa" xr:uid="{00000000-0004-0000-0000-0000940B0000}"/>
    <hyperlink ref="L2986" r:id="rId2966" tooltip="🔗 Ver Mapa" display="🔗 Ver Mapa" xr:uid="{00000000-0004-0000-0000-0000950B0000}"/>
    <hyperlink ref="L2987" r:id="rId2967" tooltip="🔗 Ver Mapa" display="🔗 Ver Mapa" xr:uid="{00000000-0004-0000-0000-0000960B0000}"/>
    <hyperlink ref="L2988" r:id="rId2968" tooltip="🔗 Ver Mapa" display="🔗 Ver Mapa" xr:uid="{00000000-0004-0000-0000-0000970B0000}"/>
    <hyperlink ref="L2989" r:id="rId2969" tooltip="🔗 Ver Mapa" display="🔗 Ver Mapa" xr:uid="{00000000-0004-0000-0000-0000980B0000}"/>
    <hyperlink ref="L2990" r:id="rId2970" tooltip="🔗 Ver Mapa" display="🔗 Ver Mapa" xr:uid="{00000000-0004-0000-0000-0000990B0000}"/>
    <hyperlink ref="L2991" r:id="rId2971" tooltip="🔗 Ver Mapa" display="🔗 Ver Mapa" xr:uid="{00000000-0004-0000-0000-00009A0B0000}"/>
    <hyperlink ref="L2992" r:id="rId2972" tooltip="🔗 Ver Mapa" display="🔗 Ver Mapa" xr:uid="{00000000-0004-0000-0000-00009B0B0000}"/>
    <hyperlink ref="L2993" r:id="rId2973" tooltip="🔗 Ver Mapa" display="🔗 Ver Mapa" xr:uid="{00000000-0004-0000-0000-00009C0B0000}"/>
    <hyperlink ref="L2994" r:id="rId2974" tooltip="🔗 Ver Mapa" display="🔗 Ver Mapa" xr:uid="{00000000-0004-0000-0000-00009D0B0000}"/>
    <hyperlink ref="L2995" r:id="rId2975" tooltip="🔗 Ver Mapa" display="🔗 Ver Mapa" xr:uid="{00000000-0004-0000-0000-00009E0B0000}"/>
    <hyperlink ref="L2996" r:id="rId2976" tooltip="🔗 Ver Mapa" display="🔗 Ver Mapa" xr:uid="{00000000-0004-0000-0000-00009F0B0000}"/>
    <hyperlink ref="L2997" r:id="rId2977" tooltip="🔗 Ver Mapa" display="🔗 Ver Mapa" xr:uid="{00000000-0004-0000-0000-0000A00B0000}"/>
    <hyperlink ref="L2998" r:id="rId2978" tooltip="🔗 Ver Mapa" display="🔗 Ver Mapa" xr:uid="{00000000-0004-0000-0000-0000A10B0000}"/>
    <hyperlink ref="L2999" r:id="rId2979" tooltip="🔗 Ver Mapa" display="🔗 Ver Mapa" xr:uid="{00000000-0004-0000-0000-0000A20B0000}"/>
    <hyperlink ref="L3000" r:id="rId2980" tooltip="🔗 Ver Mapa" display="🔗 Ver Mapa" xr:uid="{00000000-0004-0000-0000-0000A30B0000}"/>
    <hyperlink ref="L3001" r:id="rId2981" tooltip="🔗 Ver Mapa" display="🔗 Ver Mapa" xr:uid="{00000000-0004-0000-0000-0000A40B0000}"/>
    <hyperlink ref="L3002" r:id="rId2982" tooltip="🔗 Ver Mapa" display="🔗 Ver Mapa" xr:uid="{00000000-0004-0000-0000-0000A50B0000}"/>
    <hyperlink ref="L3003" r:id="rId2983" tooltip="🔗 Ver Mapa" display="🔗 Ver Mapa" xr:uid="{00000000-0004-0000-0000-0000A60B0000}"/>
    <hyperlink ref="L3004" r:id="rId2984" tooltip="🔗 Ver Mapa" display="🔗 Ver Mapa" xr:uid="{00000000-0004-0000-0000-0000A70B0000}"/>
    <hyperlink ref="L3005" r:id="rId2985" tooltip="🔗 Ver Mapa" display="🔗 Ver Mapa" xr:uid="{00000000-0004-0000-0000-0000A80B0000}"/>
    <hyperlink ref="L3006" r:id="rId2986" tooltip="🔗 Ver Mapa" display="🔗 Ver Mapa" xr:uid="{00000000-0004-0000-0000-0000A90B0000}"/>
    <hyperlink ref="L3007" r:id="rId2987" tooltip="🔗 Ver Mapa" display="🔗 Ver Mapa" xr:uid="{00000000-0004-0000-0000-0000AA0B0000}"/>
    <hyperlink ref="L3008" r:id="rId2988" tooltip="🔗 Ver Mapa" display="🔗 Ver Mapa" xr:uid="{00000000-0004-0000-0000-0000AB0B0000}"/>
    <hyperlink ref="L3009" r:id="rId2989" tooltip="🔗 Ver Mapa" display="🔗 Ver Mapa" xr:uid="{00000000-0004-0000-0000-0000AC0B0000}"/>
    <hyperlink ref="L3010" r:id="rId2990" tooltip="🔗 Ver Mapa" display="🔗 Ver Mapa" xr:uid="{00000000-0004-0000-0000-0000AD0B0000}"/>
    <hyperlink ref="L3011" r:id="rId2991" tooltip="🔗 Ver Mapa" display="🔗 Ver Mapa" xr:uid="{00000000-0004-0000-0000-0000AE0B0000}"/>
    <hyperlink ref="L3012" r:id="rId2992" tooltip="🔗 Ver Mapa" display="🔗 Ver Mapa" xr:uid="{00000000-0004-0000-0000-0000AF0B0000}"/>
    <hyperlink ref="L3013" r:id="rId2993" tooltip="🔗 Ver Mapa" display="🔗 Ver Mapa" xr:uid="{00000000-0004-0000-0000-0000B00B0000}"/>
    <hyperlink ref="L3014" r:id="rId2994" tooltip="🔗 Ver Mapa" display="🔗 Ver Mapa" xr:uid="{00000000-0004-0000-0000-0000B10B0000}"/>
    <hyperlink ref="L3015" r:id="rId2995" tooltip="🔗 Ver Mapa" display="🔗 Ver Mapa" xr:uid="{00000000-0004-0000-0000-0000B20B0000}"/>
    <hyperlink ref="L3016" r:id="rId2996" tooltip="🔗 Ver Mapa" display="🔗 Ver Mapa" xr:uid="{00000000-0004-0000-0000-0000B30B0000}"/>
    <hyperlink ref="L3017" r:id="rId2997" tooltip="🔗 Ver Mapa" display="🔗 Ver Mapa" xr:uid="{00000000-0004-0000-0000-0000B40B0000}"/>
    <hyperlink ref="L3018" r:id="rId2998" tooltip="🔗 Ver Mapa" display="🔗 Ver Mapa" xr:uid="{00000000-0004-0000-0000-0000B50B0000}"/>
    <hyperlink ref="L3019" r:id="rId2999" tooltip="🔗 Ver Mapa" display="🔗 Ver Mapa" xr:uid="{00000000-0004-0000-0000-0000B60B0000}"/>
    <hyperlink ref="L3020" r:id="rId3000" tooltip="🔗 Ver Mapa" display="🔗 Ver Mapa" xr:uid="{00000000-0004-0000-0000-0000B70B0000}"/>
    <hyperlink ref="L3021" r:id="rId3001" tooltip="🔗 Ver Mapa" display="🔗 Ver Mapa" xr:uid="{00000000-0004-0000-0000-0000B80B0000}"/>
    <hyperlink ref="L3022" r:id="rId3002" tooltip="🔗 Ver Mapa" display="🔗 Ver Mapa" xr:uid="{00000000-0004-0000-0000-0000B90B0000}"/>
    <hyperlink ref="L3023" r:id="rId3003" tooltip="🔗 Ver Mapa" display="🔗 Ver Mapa" xr:uid="{00000000-0004-0000-0000-0000BA0B0000}"/>
    <hyperlink ref="L3024" r:id="rId3004" tooltip="🔗 Ver Mapa" display="🔗 Ver Mapa" xr:uid="{00000000-0004-0000-0000-0000BB0B0000}"/>
    <hyperlink ref="L3025" r:id="rId3005" tooltip="🔗 Ver Mapa" display="🔗 Ver Mapa" xr:uid="{00000000-0004-0000-0000-0000BC0B0000}"/>
    <hyperlink ref="L3026" r:id="rId3006" tooltip="🔗 Ver Mapa" display="🔗 Ver Mapa" xr:uid="{00000000-0004-0000-0000-0000BD0B0000}"/>
    <hyperlink ref="L3027" r:id="rId3007" tooltip="🔗 Ver Mapa" display="🔗 Ver Mapa" xr:uid="{00000000-0004-0000-0000-0000BE0B0000}"/>
    <hyperlink ref="L3028" r:id="rId3008" tooltip="🔗 Ver Mapa" display="🔗 Ver Mapa" xr:uid="{00000000-0004-0000-0000-0000BF0B0000}"/>
    <hyperlink ref="L3029" r:id="rId3009" tooltip="🔗 Ver Mapa" display="🔗 Ver Mapa" xr:uid="{00000000-0004-0000-0000-0000C00B0000}"/>
    <hyperlink ref="L3030" r:id="rId3010" tooltip="🔗 Ver Mapa" display="🔗 Ver Mapa" xr:uid="{00000000-0004-0000-0000-0000C10B0000}"/>
    <hyperlink ref="L3031" r:id="rId3011" tooltip="🔗 Ver Mapa" display="🔗 Ver Mapa" xr:uid="{00000000-0004-0000-0000-0000C20B0000}"/>
    <hyperlink ref="L3032" r:id="rId3012" tooltip="🔗 Ver Mapa" display="🔗 Ver Mapa" xr:uid="{00000000-0004-0000-0000-0000C30B0000}"/>
    <hyperlink ref="L3033" r:id="rId3013" tooltip="🔗 Ver Mapa" display="🔗 Ver Mapa" xr:uid="{00000000-0004-0000-0000-0000C40B0000}"/>
    <hyperlink ref="L3034" r:id="rId3014" tooltip="🔗 Ver Mapa" display="🔗 Ver Mapa" xr:uid="{00000000-0004-0000-0000-0000C50B0000}"/>
    <hyperlink ref="L3035" r:id="rId3015" tooltip="🔗 Ver Mapa" display="🔗 Ver Mapa" xr:uid="{00000000-0004-0000-0000-0000C60B0000}"/>
    <hyperlink ref="L3036" r:id="rId3016" tooltip="🔗 Ver Mapa" display="🔗 Ver Mapa" xr:uid="{00000000-0004-0000-0000-0000C70B0000}"/>
    <hyperlink ref="L3037" r:id="rId3017" tooltip="🔗 Ver Mapa" display="🔗 Ver Mapa" xr:uid="{00000000-0004-0000-0000-0000C80B0000}"/>
    <hyperlink ref="L3038" r:id="rId3018" tooltip="🔗 Ver Mapa" display="🔗 Ver Mapa" xr:uid="{00000000-0004-0000-0000-0000C90B0000}"/>
    <hyperlink ref="L3039" r:id="rId3019" tooltip="🔗 Ver Mapa" display="🔗 Ver Mapa" xr:uid="{00000000-0004-0000-0000-0000CA0B0000}"/>
    <hyperlink ref="L3040" r:id="rId3020" tooltip="🔗 Ver Mapa" display="🔗 Ver Mapa" xr:uid="{00000000-0004-0000-0000-0000CB0B0000}"/>
    <hyperlink ref="L3041" r:id="rId3021" tooltip="🔗 Ver Mapa" display="🔗 Ver Mapa" xr:uid="{00000000-0004-0000-0000-0000CC0B0000}"/>
    <hyperlink ref="L3042" r:id="rId3022" tooltip="🔗 Ver Mapa" display="🔗 Ver Mapa" xr:uid="{00000000-0004-0000-0000-0000CD0B0000}"/>
    <hyperlink ref="L3043" r:id="rId3023" tooltip="🔗 Ver Mapa" display="🔗 Ver Mapa" xr:uid="{00000000-0004-0000-0000-0000CE0B0000}"/>
    <hyperlink ref="L3044" r:id="rId3024" tooltip="🔗 Ver Mapa" display="🔗 Ver Mapa" xr:uid="{00000000-0004-0000-0000-0000CF0B0000}"/>
    <hyperlink ref="L3045" r:id="rId3025" tooltip="🔗 Ver Mapa" display="🔗 Ver Mapa" xr:uid="{00000000-0004-0000-0000-0000D00B0000}"/>
    <hyperlink ref="L3046" r:id="rId3026" tooltip="🔗 Ver Mapa" display="🔗 Ver Mapa" xr:uid="{00000000-0004-0000-0000-0000D10B0000}"/>
    <hyperlink ref="L3047" r:id="rId3027" tooltip="🔗 Ver Mapa" display="🔗 Ver Mapa" xr:uid="{00000000-0004-0000-0000-0000D20B0000}"/>
    <hyperlink ref="L3048" r:id="rId3028" tooltip="🔗 Ver Mapa" display="🔗 Ver Mapa" xr:uid="{00000000-0004-0000-0000-0000D30B0000}"/>
    <hyperlink ref="L3049" r:id="rId3029" tooltip="🔗 Ver Mapa" display="🔗 Ver Mapa" xr:uid="{00000000-0004-0000-0000-0000D40B0000}"/>
    <hyperlink ref="L3050" r:id="rId3030" tooltip="🔗 Ver Mapa" display="🔗 Ver Mapa" xr:uid="{00000000-0004-0000-0000-0000D50B0000}"/>
    <hyperlink ref="L3051" r:id="rId3031" tooltip="🔗 Ver Mapa" display="🔗 Ver Mapa" xr:uid="{00000000-0004-0000-0000-0000D60B0000}"/>
    <hyperlink ref="L3052" r:id="rId3032" tooltip="🔗 Ver Mapa" display="🔗 Ver Mapa" xr:uid="{00000000-0004-0000-0000-0000D70B0000}"/>
    <hyperlink ref="L3053" r:id="rId3033" tooltip="🔗 Ver Mapa" display="🔗 Ver Mapa" xr:uid="{00000000-0004-0000-0000-0000D80B0000}"/>
    <hyperlink ref="L3054" r:id="rId3034" tooltip="🔗 Ver Mapa" display="🔗 Ver Mapa" xr:uid="{00000000-0004-0000-0000-0000D90B0000}"/>
    <hyperlink ref="L3055" r:id="rId3035" tooltip="🔗 Ver Mapa" display="🔗 Ver Mapa" xr:uid="{00000000-0004-0000-0000-0000DA0B0000}"/>
    <hyperlink ref="L3056" r:id="rId3036" tooltip="🔗 Ver Mapa" display="🔗 Ver Mapa" xr:uid="{00000000-0004-0000-0000-0000DB0B0000}"/>
    <hyperlink ref="L3057" r:id="rId3037" tooltip="🔗 Ver Mapa" display="🔗 Ver Mapa" xr:uid="{00000000-0004-0000-0000-0000DC0B0000}"/>
    <hyperlink ref="L3058" r:id="rId3038" tooltip="🔗 Ver Mapa" display="🔗 Ver Mapa" xr:uid="{00000000-0004-0000-0000-0000DD0B0000}"/>
    <hyperlink ref="L3059" r:id="rId3039" tooltip="🔗 Ver Mapa" display="🔗 Ver Mapa" xr:uid="{00000000-0004-0000-0000-0000DE0B0000}"/>
    <hyperlink ref="L3060" r:id="rId3040" tooltip="🔗 Ver Mapa" display="🔗 Ver Mapa" xr:uid="{00000000-0004-0000-0000-0000DF0B0000}"/>
    <hyperlink ref="L3061" r:id="rId3041" tooltip="🔗 Ver Mapa" display="🔗 Ver Mapa" xr:uid="{00000000-0004-0000-0000-0000E00B0000}"/>
    <hyperlink ref="L3062" r:id="rId3042" tooltip="🔗 Ver Mapa" display="🔗 Ver Mapa" xr:uid="{00000000-0004-0000-0000-0000E10B0000}"/>
    <hyperlink ref="L3063" r:id="rId3043" tooltip="🔗 Ver Mapa" display="🔗 Ver Mapa" xr:uid="{00000000-0004-0000-0000-0000E20B0000}"/>
    <hyperlink ref="L3064" r:id="rId3044" tooltip="🔗 Ver Mapa" display="🔗 Ver Mapa" xr:uid="{00000000-0004-0000-0000-0000E30B0000}"/>
    <hyperlink ref="L3065" r:id="rId3045" tooltip="🔗 Ver Mapa" display="🔗 Ver Mapa" xr:uid="{00000000-0004-0000-0000-0000E40B0000}"/>
    <hyperlink ref="L3066" r:id="rId3046" tooltip="🔗 Ver Mapa" display="🔗 Ver Mapa" xr:uid="{00000000-0004-0000-0000-0000E50B0000}"/>
    <hyperlink ref="L3067" r:id="rId3047" tooltip="🔗 Ver Mapa" display="🔗 Ver Mapa" xr:uid="{00000000-0004-0000-0000-0000E60B0000}"/>
    <hyperlink ref="L3068" r:id="rId3048" tooltip="🔗 Ver Mapa" display="🔗 Ver Mapa" xr:uid="{00000000-0004-0000-0000-0000E70B0000}"/>
    <hyperlink ref="L3069" r:id="rId3049" tooltip="🔗 Ver Mapa" display="🔗 Ver Mapa" xr:uid="{00000000-0004-0000-0000-0000E80B0000}"/>
    <hyperlink ref="L3070" r:id="rId3050" tooltip="🔗 Ver Mapa" display="🔗 Ver Mapa" xr:uid="{00000000-0004-0000-0000-0000E90B0000}"/>
    <hyperlink ref="L3071" r:id="rId3051" tooltip="🔗 Ver Mapa" display="🔗 Ver Mapa" xr:uid="{00000000-0004-0000-0000-0000EA0B0000}"/>
    <hyperlink ref="L3072" r:id="rId3052" tooltip="🔗 Ver Mapa" display="🔗 Ver Mapa" xr:uid="{00000000-0004-0000-0000-0000EB0B0000}"/>
    <hyperlink ref="L3073" r:id="rId3053" tooltip="🔗 Ver Mapa" display="🔗 Ver Mapa" xr:uid="{00000000-0004-0000-0000-0000EC0B0000}"/>
    <hyperlink ref="L3074" r:id="rId3054" tooltip="🔗 Ver Mapa" display="🔗 Ver Mapa" xr:uid="{00000000-0004-0000-0000-0000ED0B0000}"/>
    <hyperlink ref="L3075" r:id="rId3055" tooltip="🔗 Ver Mapa" display="🔗 Ver Mapa" xr:uid="{00000000-0004-0000-0000-0000EE0B0000}"/>
    <hyperlink ref="L3076" r:id="rId3056" tooltip="🔗 Ver Mapa" display="🔗 Ver Mapa" xr:uid="{00000000-0004-0000-0000-0000EF0B0000}"/>
    <hyperlink ref="L3077" r:id="rId3057" tooltip="🔗 Ver Mapa" display="🔗 Ver Mapa" xr:uid="{00000000-0004-0000-0000-0000F00B0000}"/>
    <hyperlink ref="L3078" r:id="rId3058" tooltip="🔗 Ver Mapa" display="🔗 Ver Mapa" xr:uid="{00000000-0004-0000-0000-0000F10B0000}"/>
    <hyperlink ref="L3079" r:id="rId3059" tooltip="🔗 Ver Mapa" display="🔗 Ver Mapa" xr:uid="{00000000-0004-0000-0000-0000F20B0000}"/>
    <hyperlink ref="L3080" r:id="rId3060" tooltip="🔗 Ver Mapa" display="🔗 Ver Mapa" xr:uid="{00000000-0004-0000-0000-0000F30B0000}"/>
    <hyperlink ref="L3081" r:id="rId3061" tooltip="🔗 Ver Mapa" display="🔗 Ver Mapa" xr:uid="{00000000-0004-0000-0000-0000F40B0000}"/>
    <hyperlink ref="L3082" r:id="rId3062" tooltip="🔗 Ver Mapa" display="🔗 Ver Mapa" xr:uid="{00000000-0004-0000-0000-0000F50B0000}"/>
    <hyperlink ref="L3083" r:id="rId3063" tooltip="🔗 Ver Mapa" display="🔗 Ver Mapa" xr:uid="{00000000-0004-0000-0000-0000F60B0000}"/>
    <hyperlink ref="L3084" r:id="rId3064" tooltip="🔗 Ver Mapa" display="🔗 Ver Mapa" xr:uid="{00000000-0004-0000-0000-0000F70B0000}"/>
    <hyperlink ref="L3085" r:id="rId3065" tooltip="🔗 Ver Mapa" display="🔗 Ver Mapa" xr:uid="{00000000-0004-0000-0000-0000F80B0000}"/>
    <hyperlink ref="L3086" r:id="rId3066" tooltip="🔗 Ver Mapa" display="🔗 Ver Mapa" xr:uid="{00000000-0004-0000-0000-0000F90B0000}"/>
    <hyperlink ref="L3087" r:id="rId3067" tooltip="🔗 Ver Mapa" display="🔗 Ver Mapa" xr:uid="{00000000-0004-0000-0000-0000FA0B0000}"/>
    <hyperlink ref="L3088" r:id="rId3068" tooltip="🔗 Ver Mapa" display="🔗 Ver Mapa" xr:uid="{00000000-0004-0000-0000-0000FB0B0000}"/>
    <hyperlink ref="L3089" r:id="rId3069" tooltip="🔗 Ver Mapa" display="🔗 Ver Mapa" xr:uid="{00000000-0004-0000-0000-0000FC0B0000}"/>
    <hyperlink ref="L3090" r:id="rId3070" tooltip="🔗 Ver Mapa" display="🔗 Ver Mapa" xr:uid="{00000000-0004-0000-0000-0000FD0B0000}"/>
    <hyperlink ref="L3091" r:id="rId3071" tooltip="🔗 Ver Mapa" display="🔗 Ver Mapa" xr:uid="{00000000-0004-0000-0000-0000FE0B0000}"/>
    <hyperlink ref="L3092" r:id="rId3072" tooltip="🔗 Ver Mapa" display="🔗 Ver Mapa" xr:uid="{00000000-0004-0000-0000-0000FF0B0000}"/>
    <hyperlink ref="L3093" r:id="rId3073" tooltip="🔗 Ver Mapa" display="🔗 Ver Mapa" xr:uid="{00000000-0004-0000-0000-0000000C0000}"/>
    <hyperlink ref="L3094" r:id="rId3074" tooltip="🔗 Ver Mapa" display="🔗 Ver Mapa" xr:uid="{00000000-0004-0000-0000-0000010C0000}"/>
    <hyperlink ref="L3095" r:id="rId3075" tooltip="🔗 Ver Mapa" display="🔗 Ver Mapa" xr:uid="{00000000-0004-0000-0000-0000020C0000}"/>
    <hyperlink ref="L3096" r:id="rId3076" tooltip="🔗 Ver Mapa" display="🔗 Ver Mapa" xr:uid="{00000000-0004-0000-0000-0000030C0000}"/>
    <hyperlink ref="L3097" r:id="rId3077" tooltip="🔗 Ver Mapa" display="🔗 Ver Mapa" xr:uid="{00000000-0004-0000-0000-0000040C0000}"/>
    <hyperlink ref="L3098" r:id="rId3078" tooltip="🔗 Ver Mapa" display="🔗 Ver Mapa" xr:uid="{00000000-0004-0000-0000-0000050C0000}"/>
    <hyperlink ref="L3099" r:id="rId3079" tooltip="🔗 Ver Mapa" display="🔗 Ver Mapa" xr:uid="{00000000-0004-0000-0000-0000060C0000}"/>
    <hyperlink ref="L3100" r:id="rId3080" tooltip="🔗 Ver Mapa" display="🔗 Ver Mapa" xr:uid="{00000000-0004-0000-0000-0000070C0000}"/>
    <hyperlink ref="L3101" r:id="rId3081" tooltip="🔗 Ver Mapa" display="🔗 Ver Mapa" xr:uid="{00000000-0004-0000-0000-0000080C0000}"/>
    <hyperlink ref="L3102" r:id="rId3082" tooltip="🔗 Ver Mapa" display="🔗 Ver Mapa" xr:uid="{00000000-0004-0000-0000-0000090C0000}"/>
    <hyperlink ref="L3103" r:id="rId3083" tooltip="🔗 Ver Mapa" display="🔗 Ver Mapa" xr:uid="{00000000-0004-0000-0000-00000A0C0000}"/>
    <hyperlink ref="L3104" r:id="rId3084" tooltip="🔗 Ver Mapa" display="🔗 Ver Mapa" xr:uid="{00000000-0004-0000-0000-00000B0C0000}"/>
    <hyperlink ref="L3105" r:id="rId3085" tooltip="🔗 Ver Mapa" display="🔗 Ver Mapa" xr:uid="{00000000-0004-0000-0000-00000C0C0000}"/>
    <hyperlink ref="L3106" r:id="rId3086" tooltip="🔗 Ver Mapa" display="🔗 Ver Mapa" xr:uid="{00000000-0004-0000-0000-00000D0C0000}"/>
    <hyperlink ref="L3107" r:id="rId3087" tooltip="🔗 Ver Mapa" display="🔗 Ver Mapa" xr:uid="{00000000-0004-0000-0000-00000E0C0000}"/>
    <hyperlink ref="L3108" r:id="rId3088" tooltip="🔗 Ver Mapa" display="🔗 Ver Mapa" xr:uid="{00000000-0004-0000-0000-00000F0C0000}"/>
    <hyperlink ref="L3109" r:id="rId3089" tooltip="🔗 Ver Mapa" display="🔗 Ver Mapa" xr:uid="{00000000-0004-0000-0000-0000100C0000}"/>
    <hyperlink ref="L3110" r:id="rId3090" tooltip="🔗 Ver Mapa" display="🔗 Ver Mapa" xr:uid="{00000000-0004-0000-0000-0000110C0000}"/>
    <hyperlink ref="L3111" r:id="rId3091" tooltip="🔗 Ver Mapa" display="🔗 Ver Mapa" xr:uid="{00000000-0004-0000-0000-0000120C0000}"/>
    <hyperlink ref="L3112" r:id="rId3092" tooltip="🔗 Ver Mapa" display="🔗 Ver Mapa" xr:uid="{00000000-0004-0000-0000-0000130C0000}"/>
    <hyperlink ref="L3113" r:id="rId3093" tooltip="🔗 Ver Mapa" display="🔗 Ver Mapa" xr:uid="{00000000-0004-0000-0000-0000140C0000}"/>
    <hyperlink ref="L3114" r:id="rId3094" tooltip="🔗 Ver Mapa" display="🔗 Ver Mapa" xr:uid="{00000000-0004-0000-0000-0000150C0000}"/>
    <hyperlink ref="L3115" r:id="rId3095" tooltip="🔗 Ver Mapa" display="🔗 Ver Mapa" xr:uid="{00000000-0004-0000-0000-0000160C0000}"/>
    <hyperlink ref="L3116" r:id="rId3096" tooltip="🔗 Ver Mapa" display="🔗 Ver Mapa" xr:uid="{00000000-0004-0000-0000-0000170C0000}"/>
    <hyperlink ref="L3117" r:id="rId3097" tooltip="🔗 Ver Mapa" display="🔗 Ver Mapa" xr:uid="{00000000-0004-0000-0000-0000180C0000}"/>
    <hyperlink ref="L3118" r:id="rId3098" tooltip="🔗 Ver Mapa" display="🔗 Ver Mapa" xr:uid="{00000000-0004-0000-0000-0000190C0000}"/>
    <hyperlink ref="L3119" r:id="rId3099" tooltip="🔗 Ver Mapa" display="🔗 Ver Mapa" xr:uid="{00000000-0004-0000-0000-00001A0C0000}"/>
    <hyperlink ref="L3120" r:id="rId3100" tooltip="🔗 Ver Mapa" display="🔗 Ver Mapa" xr:uid="{00000000-0004-0000-0000-00001B0C0000}"/>
    <hyperlink ref="L3121" r:id="rId3101" tooltip="🔗 Ver Mapa" display="🔗 Ver Mapa" xr:uid="{00000000-0004-0000-0000-00001C0C0000}"/>
    <hyperlink ref="L3122" r:id="rId3102" tooltip="🔗 Ver Mapa" display="🔗 Ver Mapa" xr:uid="{00000000-0004-0000-0000-00001D0C0000}"/>
    <hyperlink ref="L3123" r:id="rId3103" tooltip="🔗 Ver Mapa" display="🔗 Ver Mapa" xr:uid="{00000000-0004-0000-0000-00001E0C0000}"/>
    <hyperlink ref="L3124" r:id="rId3104" tooltip="🔗 Ver Mapa" display="🔗 Ver Mapa" xr:uid="{00000000-0004-0000-0000-00001F0C0000}"/>
    <hyperlink ref="L3125" r:id="rId3105" tooltip="🔗 Ver Mapa" display="🔗 Ver Mapa" xr:uid="{00000000-0004-0000-0000-0000200C0000}"/>
    <hyperlink ref="L3126" r:id="rId3106" tooltip="🔗 Ver Mapa" display="🔗 Ver Mapa" xr:uid="{00000000-0004-0000-0000-0000210C0000}"/>
    <hyperlink ref="L3127" r:id="rId3107" tooltip="🔗 Ver Mapa" display="🔗 Ver Mapa" xr:uid="{00000000-0004-0000-0000-0000220C0000}"/>
    <hyperlink ref="L3128" r:id="rId3108" tooltip="🔗 Ver Mapa" display="🔗 Ver Mapa" xr:uid="{00000000-0004-0000-0000-0000230C0000}"/>
    <hyperlink ref="L3129" r:id="rId3109" tooltip="🔗 Ver Mapa" display="🔗 Ver Mapa" xr:uid="{00000000-0004-0000-0000-0000240C0000}"/>
    <hyperlink ref="L3130" r:id="rId3110" tooltip="🔗 Ver Mapa" display="🔗 Ver Mapa" xr:uid="{00000000-0004-0000-0000-0000250C0000}"/>
    <hyperlink ref="L3131" r:id="rId3111" tooltip="🔗 Ver Mapa" display="🔗 Ver Mapa" xr:uid="{00000000-0004-0000-0000-0000260C0000}"/>
    <hyperlink ref="L3132" r:id="rId3112" tooltip="🔗 Ver Mapa" display="🔗 Ver Mapa" xr:uid="{00000000-0004-0000-0000-0000270C0000}"/>
    <hyperlink ref="L3133" r:id="rId3113" tooltip="🔗 Ver Mapa" display="🔗 Ver Mapa" xr:uid="{00000000-0004-0000-0000-0000280C0000}"/>
    <hyperlink ref="L3134" r:id="rId3114" tooltip="🔗 Ver Mapa" display="🔗 Ver Mapa" xr:uid="{00000000-0004-0000-0000-0000290C0000}"/>
    <hyperlink ref="L3135" r:id="rId3115" tooltip="🔗 Ver Mapa" display="🔗 Ver Mapa" xr:uid="{00000000-0004-0000-0000-00002A0C0000}"/>
    <hyperlink ref="L3136" r:id="rId3116" tooltip="🔗 Ver Mapa" display="🔗 Ver Mapa" xr:uid="{00000000-0004-0000-0000-00002B0C0000}"/>
    <hyperlink ref="L3137" r:id="rId3117" tooltip="🔗 Ver Mapa" display="🔗 Ver Mapa" xr:uid="{00000000-0004-0000-0000-00002C0C0000}"/>
    <hyperlink ref="L3138" r:id="rId3118" tooltip="🔗 Ver Mapa" display="🔗 Ver Mapa" xr:uid="{00000000-0004-0000-0000-00002D0C0000}"/>
    <hyperlink ref="L3139" r:id="rId3119" tooltip="🔗 Ver Mapa" display="🔗 Ver Mapa" xr:uid="{00000000-0004-0000-0000-00002E0C0000}"/>
    <hyperlink ref="L3140" r:id="rId3120" tooltip="🔗 Ver Mapa" display="🔗 Ver Mapa" xr:uid="{00000000-0004-0000-0000-00002F0C0000}"/>
    <hyperlink ref="L3141" r:id="rId3121" tooltip="🔗 Ver Mapa" display="🔗 Ver Mapa" xr:uid="{00000000-0004-0000-0000-0000300C0000}"/>
    <hyperlink ref="L3142" r:id="rId3122" tooltip="🔗 Ver Mapa" display="🔗 Ver Mapa" xr:uid="{00000000-0004-0000-0000-0000310C0000}"/>
    <hyperlink ref="L3143" r:id="rId3123" tooltip="🔗 Ver Mapa" display="🔗 Ver Mapa" xr:uid="{00000000-0004-0000-0000-0000320C0000}"/>
    <hyperlink ref="L3144" r:id="rId3124" tooltip="🔗 Ver Mapa" display="🔗 Ver Mapa" xr:uid="{00000000-0004-0000-0000-0000330C0000}"/>
    <hyperlink ref="L3145" r:id="rId3125" tooltip="🔗 Ver Mapa" display="🔗 Ver Mapa" xr:uid="{00000000-0004-0000-0000-0000340C0000}"/>
    <hyperlink ref="L3146" r:id="rId3126" tooltip="🔗 Ver Mapa" display="🔗 Ver Mapa" xr:uid="{00000000-0004-0000-0000-0000350C0000}"/>
    <hyperlink ref="L3147" r:id="rId3127" tooltip="🔗 Ver Mapa" display="🔗 Ver Mapa" xr:uid="{00000000-0004-0000-0000-0000360C0000}"/>
    <hyperlink ref="L3148" r:id="rId3128" tooltip="🔗 Ver Mapa" display="🔗 Ver Mapa" xr:uid="{00000000-0004-0000-0000-0000370C0000}"/>
    <hyperlink ref="L3149" r:id="rId3129" tooltip="🔗 Ver Mapa" display="🔗 Ver Mapa" xr:uid="{00000000-0004-0000-0000-0000380C0000}"/>
    <hyperlink ref="L3150" r:id="rId3130" tooltip="🔗 Ver Mapa" display="🔗 Ver Mapa" xr:uid="{00000000-0004-0000-0000-0000390C0000}"/>
    <hyperlink ref="L3151" r:id="rId3131" tooltip="🔗 Ver Mapa" display="🔗 Ver Mapa" xr:uid="{00000000-0004-0000-0000-00003A0C0000}"/>
    <hyperlink ref="L3152" r:id="rId3132" tooltip="🔗 Ver Mapa" display="🔗 Ver Mapa" xr:uid="{00000000-0004-0000-0000-00003B0C0000}"/>
    <hyperlink ref="L3153" r:id="rId3133" tooltip="🔗 Ver Mapa" display="🔗 Ver Mapa" xr:uid="{00000000-0004-0000-0000-00003C0C0000}"/>
    <hyperlink ref="L3154" r:id="rId3134" tooltip="🔗 Ver Mapa" display="🔗 Ver Mapa" xr:uid="{00000000-0004-0000-0000-00003D0C0000}"/>
    <hyperlink ref="L3155" r:id="rId3135" tooltip="🔗 Ver Mapa" display="🔗 Ver Mapa" xr:uid="{00000000-0004-0000-0000-00003E0C0000}"/>
    <hyperlink ref="L3156" r:id="rId3136" tooltip="🔗 Ver Mapa" display="🔗 Ver Mapa" xr:uid="{00000000-0004-0000-0000-00003F0C0000}"/>
    <hyperlink ref="L3157" r:id="rId3137" tooltip="🔗 Ver Mapa" display="🔗 Ver Mapa" xr:uid="{00000000-0004-0000-0000-0000400C0000}"/>
    <hyperlink ref="L3158" r:id="rId3138" tooltip="🔗 Ver Mapa" display="🔗 Ver Mapa" xr:uid="{00000000-0004-0000-0000-0000410C0000}"/>
    <hyperlink ref="L3159" r:id="rId3139" tooltip="🔗 Ver Mapa" display="🔗 Ver Mapa" xr:uid="{00000000-0004-0000-0000-0000420C0000}"/>
    <hyperlink ref="L3160" r:id="rId3140" tooltip="🔗 Ver Mapa" display="🔗 Ver Mapa" xr:uid="{00000000-0004-0000-0000-0000430C0000}"/>
    <hyperlink ref="L3161" r:id="rId3141" tooltip="🔗 Ver Mapa" display="🔗 Ver Mapa" xr:uid="{00000000-0004-0000-0000-0000440C0000}"/>
    <hyperlink ref="L3162" r:id="rId3142" tooltip="🔗 Ver Mapa" display="🔗 Ver Mapa" xr:uid="{00000000-0004-0000-0000-0000450C0000}"/>
    <hyperlink ref="L3163" r:id="rId3143" tooltip="🔗 Ver Mapa" display="🔗 Ver Mapa" xr:uid="{00000000-0004-0000-0000-0000460C0000}"/>
    <hyperlink ref="L3164" r:id="rId3144" tooltip="🔗 Ver Mapa" display="🔗 Ver Mapa" xr:uid="{00000000-0004-0000-0000-0000470C0000}"/>
    <hyperlink ref="L3165" r:id="rId3145" tooltip="🔗 Ver Mapa" display="🔗 Ver Mapa" xr:uid="{00000000-0004-0000-0000-0000480C0000}"/>
    <hyperlink ref="L3166" r:id="rId3146" tooltip="🔗 Ver Mapa" display="🔗 Ver Mapa" xr:uid="{00000000-0004-0000-0000-0000490C0000}"/>
    <hyperlink ref="L3167" r:id="rId3147" tooltip="🔗 Ver Mapa" display="🔗 Ver Mapa" xr:uid="{00000000-0004-0000-0000-00004A0C0000}"/>
    <hyperlink ref="L3168" r:id="rId3148" tooltip="🔗 Ver Mapa" display="🔗 Ver Mapa" xr:uid="{00000000-0004-0000-0000-00004B0C0000}"/>
    <hyperlink ref="L3169" r:id="rId3149" tooltip="🔗 Ver Mapa" display="🔗 Ver Mapa" xr:uid="{00000000-0004-0000-0000-00004C0C0000}"/>
    <hyperlink ref="L3170" r:id="rId3150" tooltip="🔗 Ver Mapa" display="🔗 Ver Mapa" xr:uid="{00000000-0004-0000-0000-00004D0C0000}"/>
    <hyperlink ref="L3171" r:id="rId3151" tooltip="🔗 Ver Mapa" display="🔗 Ver Mapa" xr:uid="{00000000-0004-0000-0000-00004E0C0000}"/>
    <hyperlink ref="L3172" r:id="rId3152" tooltip="🔗 Ver Mapa" display="🔗 Ver Mapa" xr:uid="{00000000-0004-0000-0000-00004F0C0000}"/>
    <hyperlink ref="L3173" r:id="rId3153" tooltip="🔗 Ver Mapa" display="🔗 Ver Mapa" xr:uid="{00000000-0004-0000-0000-0000500C0000}"/>
    <hyperlink ref="L3174" r:id="rId3154" tooltip="🔗 Ver Mapa" display="🔗 Ver Mapa" xr:uid="{00000000-0004-0000-0000-0000510C0000}"/>
    <hyperlink ref="L3175" r:id="rId3155" tooltip="🔗 Ver Mapa" display="🔗 Ver Mapa" xr:uid="{00000000-0004-0000-0000-0000520C0000}"/>
    <hyperlink ref="L3176" r:id="rId3156" tooltip="🔗 Ver Mapa" display="🔗 Ver Mapa" xr:uid="{00000000-0004-0000-0000-0000530C0000}"/>
    <hyperlink ref="L3177" r:id="rId3157" tooltip="🔗 Ver Mapa" display="🔗 Ver Mapa" xr:uid="{00000000-0004-0000-0000-0000540C0000}"/>
    <hyperlink ref="L3178" r:id="rId3158" tooltip="🔗 Ver Mapa" display="🔗 Ver Mapa" xr:uid="{00000000-0004-0000-0000-0000550C0000}"/>
    <hyperlink ref="L3179" r:id="rId3159" tooltip="🔗 Ver Mapa" display="🔗 Ver Mapa" xr:uid="{00000000-0004-0000-0000-0000560C0000}"/>
    <hyperlink ref="L3180" r:id="rId3160" tooltip="🔗 Ver Mapa" display="🔗 Ver Mapa" xr:uid="{00000000-0004-0000-0000-0000570C0000}"/>
    <hyperlink ref="L3181" r:id="rId3161" tooltip="🔗 Ver Mapa" display="🔗 Ver Mapa" xr:uid="{00000000-0004-0000-0000-0000580C0000}"/>
    <hyperlink ref="L3182" r:id="rId3162" tooltip="🔗 Ver Mapa" display="🔗 Ver Mapa" xr:uid="{00000000-0004-0000-0000-0000590C0000}"/>
    <hyperlink ref="L3183" r:id="rId3163" tooltip="🔗 Ver Mapa" display="🔗 Ver Mapa" xr:uid="{00000000-0004-0000-0000-00005A0C0000}"/>
    <hyperlink ref="L3184" r:id="rId3164" tooltip="🔗 Ver Mapa" display="🔗 Ver Mapa" xr:uid="{00000000-0004-0000-0000-00005B0C0000}"/>
    <hyperlink ref="L3185" r:id="rId3165" tooltip="🔗 Ver Mapa" display="🔗 Ver Mapa" xr:uid="{00000000-0004-0000-0000-00005C0C0000}"/>
    <hyperlink ref="L3186" r:id="rId3166" tooltip="🔗 Ver Mapa" display="🔗 Ver Mapa" xr:uid="{00000000-0004-0000-0000-00005D0C0000}"/>
    <hyperlink ref="L3187" r:id="rId3167" tooltip="🔗 Ver Mapa" display="🔗 Ver Mapa" xr:uid="{00000000-0004-0000-0000-00005E0C0000}"/>
    <hyperlink ref="L3188" r:id="rId3168" tooltip="🔗 Ver Mapa" display="🔗 Ver Mapa" xr:uid="{00000000-0004-0000-0000-00005F0C0000}"/>
    <hyperlink ref="L3189" r:id="rId3169" tooltip="🔗 Ver Mapa" display="🔗 Ver Mapa" xr:uid="{00000000-0004-0000-0000-0000600C0000}"/>
    <hyperlink ref="L3190" r:id="rId3170" tooltip="🔗 Ver Mapa" display="🔗 Ver Mapa" xr:uid="{00000000-0004-0000-0000-0000610C0000}"/>
    <hyperlink ref="L3191" r:id="rId3171" tooltip="🔗 Ver Mapa" display="🔗 Ver Mapa" xr:uid="{00000000-0004-0000-0000-0000620C0000}"/>
    <hyperlink ref="L3192" r:id="rId3172" tooltip="🔗 Ver Mapa" display="🔗 Ver Mapa" xr:uid="{00000000-0004-0000-0000-0000630C0000}"/>
    <hyperlink ref="L3193" r:id="rId3173" tooltip="🔗 Ver Mapa" display="🔗 Ver Mapa" xr:uid="{00000000-0004-0000-0000-0000640C0000}"/>
    <hyperlink ref="L3194" r:id="rId3174" tooltip="🔗 Ver Mapa" display="🔗 Ver Mapa" xr:uid="{00000000-0004-0000-0000-0000650C0000}"/>
    <hyperlink ref="L3195" r:id="rId3175" tooltip="🔗 Ver Mapa" display="🔗 Ver Mapa" xr:uid="{00000000-0004-0000-0000-0000660C0000}"/>
    <hyperlink ref="L3196" r:id="rId3176" tooltip="🔗 Ver Mapa" display="🔗 Ver Mapa" xr:uid="{00000000-0004-0000-0000-0000670C0000}"/>
    <hyperlink ref="L3197" r:id="rId3177" tooltip="🔗 Ver Mapa" display="🔗 Ver Mapa" xr:uid="{00000000-0004-0000-0000-0000680C0000}"/>
    <hyperlink ref="L3198" r:id="rId3178" tooltip="🔗 Ver Mapa" display="🔗 Ver Mapa" xr:uid="{00000000-0004-0000-0000-0000690C0000}"/>
    <hyperlink ref="L3199" r:id="rId3179" tooltip="🔗 Ver Mapa" display="🔗 Ver Mapa" xr:uid="{00000000-0004-0000-0000-00006A0C0000}"/>
    <hyperlink ref="L3200" r:id="rId3180" tooltip="🔗 Ver Mapa" display="🔗 Ver Mapa" xr:uid="{00000000-0004-0000-0000-00006B0C0000}"/>
    <hyperlink ref="L3201" r:id="rId3181" tooltip="🔗 Ver Mapa" display="🔗 Ver Mapa" xr:uid="{00000000-0004-0000-0000-00006C0C0000}"/>
    <hyperlink ref="L3202" r:id="rId3182" tooltip="🔗 Ver Mapa" display="🔗 Ver Mapa" xr:uid="{00000000-0004-0000-0000-00006D0C0000}"/>
    <hyperlink ref="L3203" r:id="rId3183" tooltip="🔗 Ver Mapa" display="🔗 Ver Mapa" xr:uid="{00000000-0004-0000-0000-00006E0C0000}"/>
    <hyperlink ref="L3204" r:id="rId3184" tooltip="🔗 Ver Mapa" display="🔗 Ver Mapa" xr:uid="{00000000-0004-0000-0000-00006F0C0000}"/>
    <hyperlink ref="L3205" r:id="rId3185" tooltip="🔗 Ver Mapa" display="🔗 Ver Mapa" xr:uid="{00000000-0004-0000-0000-0000700C0000}"/>
    <hyperlink ref="L3206" r:id="rId3186" tooltip="🔗 Ver Mapa" display="🔗 Ver Mapa" xr:uid="{00000000-0004-0000-0000-0000710C0000}"/>
    <hyperlink ref="L3207" r:id="rId3187" tooltip="🔗 Ver Mapa" display="🔗 Ver Mapa" xr:uid="{00000000-0004-0000-0000-0000720C0000}"/>
    <hyperlink ref="L3208" r:id="rId3188" tooltip="🔗 Ver Mapa" display="🔗 Ver Mapa" xr:uid="{00000000-0004-0000-0000-0000730C0000}"/>
    <hyperlink ref="L3209" r:id="rId3189" tooltip="🔗 Ver Mapa" display="🔗 Ver Mapa" xr:uid="{00000000-0004-0000-0000-0000740C0000}"/>
    <hyperlink ref="L3210" r:id="rId3190" tooltip="🔗 Ver Mapa" display="🔗 Ver Mapa" xr:uid="{00000000-0004-0000-0000-0000750C0000}"/>
    <hyperlink ref="L3211" r:id="rId3191" tooltip="🔗 Ver Mapa" display="🔗 Ver Mapa" xr:uid="{00000000-0004-0000-0000-0000760C0000}"/>
    <hyperlink ref="L3212" r:id="rId3192" tooltip="🔗 Ver Mapa" display="🔗 Ver Mapa" xr:uid="{00000000-0004-0000-0000-0000770C0000}"/>
    <hyperlink ref="L3213" r:id="rId3193" tooltip="🔗 Ver Mapa" display="🔗 Ver Mapa" xr:uid="{00000000-0004-0000-0000-0000780C0000}"/>
    <hyperlink ref="L3214" r:id="rId3194" tooltip="🔗 Ver Mapa" display="🔗 Ver Mapa" xr:uid="{00000000-0004-0000-0000-0000790C0000}"/>
    <hyperlink ref="L3215" r:id="rId3195" tooltip="🔗 Ver Mapa" display="🔗 Ver Mapa" xr:uid="{00000000-0004-0000-0000-00007A0C0000}"/>
    <hyperlink ref="L3216" r:id="rId3196" tooltip="🔗 Ver Mapa" display="🔗 Ver Mapa" xr:uid="{00000000-0004-0000-0000-00007B0C0000}"/>
    <hyperlink ref="L3217" r:id="rId3197" tooltip="🔗 Ver Mapa" display="🔗 Ver Mapa" xr:uid="{00000000-0004-0000-0000-00007C0C0000}"/>
    <hyperlink ref="L3218" r:id="rId3198" tooltip="🔗 Ver Mapa" display="🔗 Ver Mapa" xr:uid="{00000000-0004-0000-0000-00007D0C0000}"/>
    <hyperlink ref="L3219" r:id="rId3199" tooltip="🔗 Ver Mapa" display="🔗 Ver Mapa" xr:uid="{00000000-0004-0000-0000-00007E0C0000}"/>
    <hyperlink ref="L3220" r:id="rId3200" tooltip="🔗 Ver Mapa" display="🔗 Ver Mapa" xr:uid="{00000000-0004-0000-0000-00007F0C0000}"/>
    <hyperlink ref="L3221" r:id="rId3201" tooltip="🔗 Ver Mapa" display="🔗 Ver Mapa" xr:uid="{00000000-0004-0000-0000-0000800C0000}"/>
    <hyperlink ref="L3222" r:id="rId3202" tooltip="🔗 Ver Mapa" display="🔗 Ver Mapa" xr:uid="{00000000-0004-0000-0000-0000810C0000}"/>
    <hyperlink ref="L3223" r:id="rId3203" tooltip="🔗 Ver Mapa" display="🔗 Ver Mapa" xr:uid="{00000000-0004-0000-0000-0000820C0000}"/>
    <hyperlink ref="L3224" r:id="rId3204" tooltip="🔗 Ver Mapa" display="🔗 Ver Mapa" xr:uid="{00000000-0004-0000-0000-0000830C0000}"/>
    <hyperlink ref="L3225" r:id="rId3205" tooltip="🔗 Ver Mapa" display="🔗 Ver Mapa" xr:uid="{00000000-0004-0000-0000-0000840C0000}"/>
    <hyperlink ref="L3226" r:id="rId3206" tooltip="🔗 Ver Mapa" display="🔗 Ver Mapa" xr:uid="{00000000-0004-0000-0000-0000850C0000}"/>
    <hyperlink ref="L3227" r:id="rId3207" tooltip="🔗 Ver Mapa" display="🔗 Ver Mapa" xr:uid="{00000000-0004-0000-0000-0000860C0000}"/>
    <hyperlink ref="L3228" r:id="rId3208" tooltip="🔗 Ver Mapa" display="🔗 Ver Mapa" xr:uid="{00000000-0004-0000-0000-0000870C0000}"/>
    <hyperlink ref="L3229" r:id="rId3209" tooltip="🔗 Ver Mapa" display="🔗 Ver Mapa" xr:uid="{00000000-0004-0000-0000-0000880C0000}"/>
    <hyperlink ref="L3230" r:id="rId3210" tooltip="🔗 Ver Mapa" display="🔗 Ver Mapa" xr:uid="{00000000-0004-0000-0000-0000890C0000}"/>
    <hyperlink ref="L3231" r:id="rId3211" tooltip="🔗 Ver Mapa" display="🔗 Ver Mapa" xr:uid="{00000000-0004-0000-0000-00008A0C0000}"/>
    <hyperlink ref="L3232" r:id="rId3212" tooltip="🔗 Ver Mapa" display="🔗 Ver Mapa" xr:uid="{00000000-0004-0000-0000-00008B0C0000}"/>
    <hyperlink ref="L3233" r:id="rId3213" tooltip="🔗 Ver Mapa" display="🔗 Ver Mapa" xr:uid="{00000000-0004-0000-0000-00008C0C0000}"/>
    <hyperlink ref="L3234" r:id="rId3214" tooltip="🔗 Ver Mapa" display="🔗 Ver Mapa" xr:uid="{00000000-0004-0000-0000-00008D0C0000}"/>
    <hyperlink ref="L3235" r:id="rId3215" tooltip="🔗 Ver Mapa" display="🔗 Ver Mapa" xr:uid="{00000000-0004-0000-0000-00008E0C0000}"/>
    <hyperlink ref="L3236" r:id="rId3216" tooltip="🔗 Ver Mapa" display="🔗 Ver Mapa" xr:uid="{00000000-0004-0000-0000-00008F0C0000}"/>
    <hyperlink ref="L3237" r:id="rId3217" tooltip="🔗 Ver Mapa" display="🔗 Ver Mapa" xr:uid="{00000000-0004-0000-0000-0000900C0000}"/>
    <hyperlink ref="L3238" r:id="rId3218" tooltip="🔗 Ver Mapa" display="🔗 Ver Mapa" xr:uid="{00000000-0004-0000-0000-0000910C0000}"/>
    <hyperlink ref="L3239" r:id="rId3219" tooltip="🔗 Ver Mapa" display="🔗 Ver Mapa" xr:uid="{00000000-0004-0000-0000-0000920C0000}"/>
    <hyperlink ref="L3240" r:id="rId3220" tooltip="🔗 Ver Mapa" display="🔗 Ver Mapa" xr:uid="{00000000-0004-0000-0000-0000930C0000}"/>
    <hyperlink ref="L3241" r:id="rId3221" tooltip="🔗 Ver Mapa" display="🔗 Ver Mapa" xr:uid="{00000000-0004-0000-0000-0000940C0000}"/>
    <hyperlink ref="L3242" r:id="rId3222" tooltip="🔗 Ver Mapa" display="🔗 Ver Mapa" xr:uid="{00000000-0004-0000-0000-0000950C0000}"/>
    <hyperlink ref="L3243" r:id="rId3223" tooltip="🔗 Ver Mapa" display="🔗 Ver Mapa" xr:uid="{00000000-0004-0000-0000-0000960C0000}"/>
    <hyperlink ref="L3244" r:id="rId3224" tooltip="🔗 Ver Mapa" display="🔗 Ver Mapa" xr:uid="{00000000-0004-0000-0000-0000970C0000}"/>
    <hyperlink ref="L3245" r:id="rId3225" tooltip="🔗 Ver Mapa" display="🔗 Ver Mapa" xr:uid="{00000000-0004-0000-0000-0000980C0000}"/>
    <hyperlink ref="L3246" r:id="rId3226" tooltip="🔗 Ver Mapa" display="🔗 Ver Mapa" xr:uid="{00000000-0004-0000-0000-0000990C0000}"/>
    <hyperlink ref="L3247" r:id="rId3227" tooltip="🔗 Ver Mapa" display="🔗 Ver Mapa" xr:uid="{00000000-0004-0000-0000-00009A0C0000}"/>
    <hyperlink ref="L3248" r:id="rId3228" tooltip="🔗 Ver Mapa" display="🔗 Ver Mapa" xr:uid="{00000000-0004-0000-0000-00009B0C0000}"/>
    <hyperlink ref="L3249" r:id="rId3229" tooltip="🔗 Ver Mapa" display="🔗 Ver Mapa" xr:uid="{00000000-0004-0000-0000-00009C0C0000}"/>
    <hyperlink ref="L3250" r:id="rId3230" tooltip="🔗 Ver Mapa" display="🔗 Ver Mapa" xr:uid="{00000000-0004-0000-0000-00009D0C0000}"/>
    <hyperlink ref="L3251" r:id="rId3231" tooltip="🔗 Ver Mapa" display="🔗 Ver Mapa" xr:uid="{00000000-0004-0000-0000-00009E0C0000}"/>
    <hyperlink ref="L3252" r:id="rId3232" tooltip="🔗 Ver Mapa" display="🔗 Ver Mapa" xr:uid="{00000000-0004-0000-0000-00009F0C0000}"/>
    <hyperlink ref="L3253" r:id="rId3233" tooltip="🔗 Ver Mapa" display="🔗 Ver Mapa" xr:uid="{00000000-0004-0000-0000-0000A00C0000}"/>
    <hyperlink ref="L3254" r:id="rId3234" tooltip="🔗 Ver Mapa" display="🔗 Ver Mapa" xr:uid="{00000000-0004-0000-0000-0000A10C0000}"/>
    <hyperlink ref="L3255" r:id="rId3235" tooltip="🔗 Ver Mapa" display="🔗 Ver Mapa" xr:uid="{00000000-0004-0000-0000-0000A20C0000}"/>
    <hyperlink ref="L3256" r:id="rId3236" tooltip="🔗 Ver Mapa" display="🔗 Ver Mapa" xr:uid="{00000000-0004-0000-0000-0000A30C0000}"/>
    <hyperlink ref="L3257" r:id="rId3237" tooltip="🔗 Ver Mapa" display="🔗 Ver Mapa" xr:uid="{00000000-0004-0000-0000-0000A40C0000}"/>
    <hyperlink ref="L3258" r:id="rId3238" tooltip="🔗 Ver Mapa" display="🔗 Ver Mapa" xr:uid="{00000000-0004-0000-0000-0000A50C0000}"/>
    <hyperlink ref="L3259" r:id="rId3239" tooltip="🔗 Ver Mapa" display="🔗 Ver Mapa" xr:uid="{00000000-0004-0000-0000-0000A60C0000}"/>
    <hyperlink ref="L3260" r:id="rId3240" tooltip="🔗 Ver Mapa" display="🔗 Ver Mapa" xr:uid="{00000000-0004-0000-0000-0000A70C0000}"/>
    <hyperlink ref="L3261" r:id="rId3241" tooltip="🔗 Ver Mapa" display="🔗 Ver Mapa" xr:uid="{00000000-0004-0000-0000-0000A80C0000}"/>
    <hyperlink ref="L3262" r:id="rId3242" tooltip="🔗 Ver Mapa" display="🔗 Ver Mapa" xr:uid="{00000000-0004-0000-0000-0000A90C0000}"/>
    <hyperlink ref="L3263" r:id="rId3243" tooltip="🔗 Ver Mapa" display="🔗 Ver Mapa" xr:uid="{00000000-0004-0000-0000-0000AA0C0000}"/>
    <hyperlink ref="L3264" r:id="rId3244" tooltip="🔗 Ver Mapa" display="🔗 Ver Mapa" xr:uid="{00000000-0004-0000-0000-0000AB0C0000}"/>
    <hyperlink ref="L3265" r:id="rId3245" tooltip="🔗 Ver Mapa" display="🔗 Ver Mapa" xr:uid="{00000000-0004-0000-0000-0000AC0C0000}"/>
    <hyperlink ref="L3266" r:id="rId3246" tooltip="🔗 Ver Mapa" display="🔗 Ver Mapa" xr:uid="{00000000-0004-0000-0000-0000AD0C0000}"/>
    <hyperlink ref="L3267" r:id="rId3247" tooltip="🔗 Ver Mapa" display="🔗 Ver Mapa" xr:uid="{00000000-0004-0000-0000-0000AE0C0000}"/>
    <hyperlink ref="L3268" r:id="rId3248" tooltip="🔗 Ver Mapa" display="🔗 Ver Mapa" xr:uid="{00000000-0004-0000-0000-0000AF0C0000}"/>
    <hyperlink ref="L3269" r:id="rId3249" tooltip="🔗 Ver Mapa" display="🔗 Ver Mapa" xr:uid="{00000000-0004-0000-0000-0000B00C0000}"/>
    <hyperlink ref="L3270" r:id="rId3250" tooltip="🔗 Ver Mapa" display="🔗 Ver Mapa" xr:uid="{00000000-0004-0000-0000-0000B10C0000}"/>
    <hyperlink ref="L3271" r:id="rId3251" tooltip="🔗 Ver Mapa" display="🔗 Ver Mapa" xr:uid="{00000000-0004-0000-0000-0000B20C0000}"/>
    <hyperlink ref="L3272" r:id="rId3252" tooltip="🔗 Ver Mapa" display="🔗 Ver Mapa" xr:uid="{00000000-0004-0000-0000-0000B30C0000}"/>
    <hyperlink ref="L3273" r:id="rId3253" tooltip="🔗 Ver Mapa" display="🔗 Ver Mapa" xr:uid="{00000000-0004-0000-0000-0000B40C0000}"/>
    <hyperlink ref="L3274" r:id="rId3254" tooltip="🔗 Ver Mapa" display="🔗 Ver Mapa" xr:uid="{00000000-0004-0000-0000-0000B50C0000}"/>
    <hyperlink ref="L3275" r:id="rId3255" tooltip="🔗 Ver Mapa" display="🔗 Ver Mapa" xr:uid="{00000000-0004-0000-0000-0000B60C0000}"/>
    <hyperlink ref="L3276" r:id="rId3256" tooltip="🔗 Ver Mapa" display="🔗 Ver Mapa" xr:uid="{00000000-0004-0000-0000-0000B70C0000}"/>
    <hyperlink ref="L3277" r:id="rId3257" tooltip="🔗 Ver Mapa" display="🔗 Ver Mapa" xr:uid="{00000000-0004-0000-0000-0000B80C0000}"/>
    <hyperlink ref="L3278" r:id="rId3258" tooltip="🔗 Ver Mapa" display="🔗 Ver Mapa" xr:uid="{00000000-0004-0000-0000-0000B90C0000}"/>
    <hyperlink ref="L3279" r:id="rId3259" tooltip="🔗 Ver Mapa" display="🔗 Ver Mapa" xr:uid="{00000000-0004-0000-0000-0000BA0C0000}"/>
    <hyperlink ref="L3280" r:id="rId3260" tooltip="🔗 Ver Mapa" display="🔗 Ver Mapa" xr:uid="{00000000-0004-0000-0000-0000BB0C0000}"/>
    <hyperlink ref="L3281" r:id="rId3261" tooltip="🔗 Ver Mapa" display="🔗 Ver Mapa" xr:uid="{00000000-0004-0000-0000-0000BC0C0000}"/>
    <hyperlink ref="L3282" r:id="rId3262" tooltip="🔗 Ver Mapa" display="🔗 Ver Mapa" xr:uid="{00000000-0004-0000-0000-0000BD0C0000}"/>
    <hyperlink ref="L3283" r:id="rId3263" tooltip="🔗 Ver Mapa" display="🔗 Ver Mapa" xr:uid="{00000000-0004-0000-0000-0000BE0C0000}"/>
    <hyperlink ref="L3284" r:id="rId3264" tooltip="🔗 Ver Mapa" display="🔗 Ver Mapa" xr:uid="{00000000-0004-0000-0000-0000BF0C0000}"/>
    <hyperlink ref="L3285" r:id="rId3265" tooltip="🔗 Ver Mapa" display="🔗 Ver Mapa" xr:uid="{00000000-0004-0000-0000-0000C00C0000}"/>
    <hyperlink ref="L3286" r:id="rId3266" tooltip="🔗 Ver Mapa" display="🔗 Ver Mapa" xr:uid="{00000000-0004-0000-0000-0000C10C0000}"/>
    <hyperlink ref="L3287" r:id="rId3267" tooltip="🔗 Ver Mapa" display="🔗 Ver Mapa" xr:uid="{00000000-0004-0000-0000-0000C20C0000}"/>
    <hyperlink ref="L3288" r:id="rId3268" tooltip="🔗 Ver Mapa" display="🔗 Ver Mapa" xr:uid="{00000000-0004-0000-0000-0000C30C0000}"/>
    <hyperlink ref="L3289" r:id="rId3269" tooltip="🔗 Ver Mapa" display="🔗 Ver Mapa" xr:uid="{00000000-0004-0000-0000-0000C40C0000}"/>
    <hyperlink ref="L3290" r:id="rId3270" tooltip="🔗 Ver Mapa" display="🔗 Ver Mapa" xr:uid="{00000000-0004-0000-0000-0000C50C0000}"/>
    <hyperlink ref="L3291" r:id="rId3271" tooltip="🔗 Ver Mapa" display="🔗 Ver Mapa" xr:uid="{00000000-0004-0000-0000-0000C60C0000}"/>
    <hyperlink ref="L3292" r:id="rId3272" tooltip="🔗 Ver Mapa" display="🔗 Ver Mapa" xr:uid="{00000000-0004-0000-0000-0000C70C0000}"/>
    <hyperlink ref="L3293" r:id="rId3273" tooltip="🔗 Ver Mapa" display="🔗 Ver Mapa" xr:uid="{00000000-0004-0000-0000-0000C80C0000}"/>
    <hyperlink ref="L3294" r:id="rId3274" tooltip="🔗 Ver Mapa" display="🔗 Ver Mapa" xr:uid="{00000000-0004-0000-0000-0000C90C0000}"/>
    <hyperlink ref="L3295" r:id="rId3275" tooltip="🔗 Ver Mapa" display="🔗 Ver Mapa" xr:uid="{00000000-0004-0000-0000-0000CA0C0000}"/>
    <hyperlink ref="L3296" r:id="rId3276" tooltip="🔗 Ver Mapa" display="🔗 Ver Mapa" xr:uid="{00000000-0004-0000-0000-0000CB0C0000}"/>
    <hyperlink ref="L3297" r:id="rId3277" tooltip="🔗 Ver Mapa" display="🔗 Ver Mapa" xr:uid="{00000000-0004-0000-0000-0000CC0C0000}"/>
    <hyperlink ref="L3298" r:id="rId3278" tooltip="🔗 Ver Mapa" display="🔗 Ver Mapa" xr:uid="{00000000-0004-0000-0000-0000CD0C0000}"/>
    <hyperlink ref="L3299" r:id="rId3279" tooltip="🔗 Ver Mapa" display="🔗 Ver Mapa" xr:uid="{00000000-0004-0000-0000-0000CE0C0000}"/>
    <hyperlink ref="L3300" r:id="rId3280" tooltip="🔗 Ver Mapa" display="🔗 Ver Mapa" xr:uid="{00000000-0004-0000-0000-0000CF0C0000}"/>
    <hyperlink ref="L3301" r:id="rId3281" tooltip="🔗 Ver Mapa" display="🔗 Ver Mapa" xr:uid="{00000000-0004-0000-0000-0000D00C0000}"/>
    <hyperlink ref="L3302" r:id="rId3282" tooltip="🔗 Ver Mapa" display="🔗 Ver Mapa" xr:uid="{00000000-0004-0000-0000-0000D10C0000}"/>
    <hyperlink ref="L3303" r:id="rId3283" tooltip="🔗 Ver Mapa" display="🔗 Ver Mapa" xr:uid="{00000000-0004-0000-0000-0000D20C0000}"/>
    <hyperlink ref="L3304" r:id="rId3284" tooltip="🔗 Ver Mapa" display="🔗 Ver Mapa" xr:uid="{00000000-0004-0000-0000-0000D30C0000}"/>
    <hyperlink ref="L3305" r:id="rId3285" tooltip="🔗 Ver Mapa" display="🔗 Ver Mapa" xr:uid="{00000000-0004-0000-0000-0000D40C0000}"/>
    <hyperlink ref="L3306" r:id="rId3286" tooltip="🔗 Ver Mapa" display="🔗 Ver Mapa" xr:uid="{00000000-0004-0000-0000-0000D50C0000}"/>
    <hyperlink ref="L3307" r:id="rId3287" tooltip="🔗 Ver Mapa" display="🔗 Ver Mapa" xr:uid="{00000000-0004-0000-0000-0000D60C0000}"/>
    <hyperlink ref="L3308" r:id="rId3288" tooltip="🔗 Ver Mapa" display="🔗 Ver Mapa" xr:uid="{00000000-0004-0000-0000-0000D70C0000}"/>
    <hyperlink ref="L3309" r:id="rId3289" tooltip="🔗 Ver Mapa" display="🔗 Ver Mapa" xr:uid="{00000000-0004-0000-0000-0000D80C0000}"/>
    <hyperlink ref="L3310" r:id="rId3290" tooltip="🔗 Ver Mapa" display="🔗 Ver Mapa" xr:uid="{00000000-0004-0000-0000-0000D90C0000}"/>
    <hyperlink ref="L3311" r:id="rId3291" tooltip="🔗 Ver Mapa" display="🔗 Ver Mapa" xr:uid="{00000000-0004-0000-0000-0000DA0C0000}"/>
    <hyperlink ref="L3312" r:id="rId3292" tooltip="🔗 Ver Mapa" display="🔗 Ver Mapa" xr:uid="{00000000-0004-0000-0000-0000DB0C0000}"/>
    <hyperlink ref="L3313" r:id="rId3293" tooltip="🔗 Ver Mapa" display="🔗 Ver Mapa" xr:uid="{00000000-0004-0000-0000-0000DC0C0000}"/>
    <hyperlink ref="L3314" r:id="rId3294" tooltip="🔗 Ver Mapa" display="🔗 Ver Mapa" xr:uid="{00000000-0004-0000-0000-0000DD0C0000}"/>
    <hyperlink ref="L3315" r:id="rId3295" tooltip="🔗 Ver Mapa" display="🔗 Ver Mapa" xr:uid="{00000000-0004-0000-0000-0000DE0C0000}"/>
    <hyperlink ref="L3316" r:id="rId3296" tooltip="🔗 Ver Mapa" display="🔗 Ver Mapa" xr:uid="{00000000-0004-0000-0000-0000DF0C0000}"/>
    <hyperlink ref="L3317" r:id="rId3297" tooltip="🔗 Ver Mapa" display="🔗 Ver Mapa" xr:uid="{00000000-0004-0000-0000-0000E00C0000}"/>
    <hyperlink ref="L3318" r:id="rId3298" tooltip="🔗 Ver Mapa" display="🔗 Ver Mapa" xr:uid="{00000000-0004-0000-0000-0000E10C0000}"/>
    <hyperlink ref="L3319" r:id="rId3299" tooltip="🔗 Ver Mapa" display="🔗 Ver Mapa" xr:uid="{00000000-0004-0000-0000-0000E20C0000}"/>
    <hyperlink ref="L3320" r:id="rId3300" tooltip="🔗 Ver Mapa" display="🔗 Ver Mapa" xr:uid="{00000000-0004-0000-0000-0000E30C0000}"/>
    <hyperlink ref="L3321" r:id="rId3301" tooltip="🔗 Ver Mapa" display="🔗 Ver Mapa" xr:uid="{00000000-0004-0000-0000-0000E40C0000}"/>
    <hyperlink ref="L3322" r:id="rId3302" tooltip="🔗 Ver Mapa" display="🔗 Ver Mapa" xr:uid="{00000000-0004-0000-0000-0000E50C0000}"/>
    <hyperlink ref="L3323" r:id="rId3303" tooltip="🔗 Ver Mapa" display="🔗 Ver Mapa" xr:uid="{00000000-0004-0000-0000-0000E60C0000}"/>
    <hyperlink ref="L3324" r:id="rId3304" tooltip="🔗 Ver Mapa" display="🔗 Ver Mapa" xr:uid="{00000000-0004-0000-0000-0000E70C0000}"/>
    <hyperlink ref="L3325" r:id="rId3305" tooltip="🔗 Ver Mapa" display="🔗 Ver Mapa" xr:uid="{00000000-0004-0000-0000-0000E80C0000}"/>
    <hyperlink ref="L3326" r:id="rId3306" tooltip="🔗 Ver Mapa" display="🔗 Ver Mapa" xr:uid="{00000000-0004-0000-0000-0000E90C0000}"/>
    <hyperlink ref="L3327" r:id="rId3307" tooltip="🔗 Ver Mapa" display="🔗 Ver Mapa" xr:uid="{00000000-0004-0000-0000-0000EA0C0000}"/>
    <hyperlink ref="L3328" r:id="rId3308" tooltip="🔗 Ver Mapa" display="🔗 Ver Mapa" xr:uid="{00000000-0004-0000-0000-0000EB0C0000}"/>
    <hyperlink ref="L3329" r:id="rId3309" tooltip="🔗 Ver Mapa" display="🔗 Ver Mapa" xr:uid="{00000000-0004-0000-0000-0000EC0C0000}"/>
    <hyperlink ref="L3330" r:id="rId3310" tooltip="🔗 Ver Mapa" display="🔗 Ver Mapa" xr:uid="{00000000-0004-0000-0000-0000ED0C0000}"/>
    <hyperlink ref="L3331" r:id="rId3311" tooltip="🔗 Ver Mapa" display="🔗 Ver Mapa" xr:uid="{00000000-0004-0000-0000-0000EE0C0000}"/>
    <hyperlink ref="L3332" r:id="rId3312" tooltip="🔗 Ver Mapa" display="🔗 Ver Mapa" xr:uid="{00000000-0004-0000-0000-0000EF0C0000}"/>
    <hyperlink ref="L3333" r:id="rId3313" tooltip="🔗 Ver Mapa" display="🔗 Ver Mapa" xr:uid="{00000000-0004-0000-0000-0000F00C0000}"/>
    <hyperlink ref="L3334" r:id="rId3314" tooltip="🔗 Ver Mapa" display="🔗 Ver Mapa" xr:uid="{00000000-0004-0000-0000-0000F10C0000}"/>
    <hyperlink ref="L3335" r:id="rId3315" tooltip="🔗 Ver Mapa" display="🔗 Ver Mapa" xr:uid="{00000000-0004-0000-0000-0000F20C0000}"/>
    <hyperlink ref="L3336" r:id="rId3316" tooltip="🔗 Ver Mapa" display="🔗 Ver Mapa" xr:uid="{00000000-0004-0000-0000-0000F30C0000}"/>
    <hyperlink ref="L3337" r:id="rId3317" tooltip="🔗 Ver Mapa" display="🔗 Ver Mapa" xr:uid="{00000000-0004-0000-0000-0000F40C0000}"/>
    <hyperlink ref="L3338" r:id="rId3318" tooltip="🔗 Ver Mapa" display="🔗 Ver Mapa" xr:uid="{00000000-0004-0000-0000-0000F50C0000}"/>
    <hyperlink ref="L3339" r:id="rId3319" tooltip="🔗 Ver Mapa" display="🔗 Ver Mapa" xr:uid="{00000000-0004-0000-0000-0000F60C0000}"/>
    <hyperlink ref="L3340" r:id="rId3320" tooltip="🔗 Ver Mapa" display="🔗 Ver Mapa" xr:uid="{00000000-0004-0000-0000-0000F70C0000}"/>
    <hyperlink ref="L3341" r:id="rId3321" tooltip="🔗 Ver Mapa" display="🔗 Ver Mapa" xr:uid="{00000000-0004-0000-0000-0000F80C0000}"/>
    <hyperlink ref="L3342" r:id="rId3322" tooltip="🔗 Ver Mapa" display="🔗 Ver Mapa" xr:uid="{00000000-0004-0000-0000-0000F90C0000}"/>
    <hyperlink ref="L3343" r:id="rId3323" tooltip="🔗 Ver Mapa" display="🔗 Ver Mapa" xr:uid="{00000000-0004-0000-0000-0000FA0C0000}"/>
    <hyperlink ref="L3344" r:id="rId3324" tooltip="🔗 Ver Mapa" display="🔗 Ver Mapa" xr:uid="{00000000-0004-0000-0000-0000FB0C0000}"/>
    <hyperlink ref="L3345" r:id="rId3325" tooltip="🔗 Ver Mapa" display="🔗 Ver Mapa" xr:uid="{00000000-0004-0000-0000-0000FC0C0000}"/>
    <hyperlink ref="L3346" r:id="rId3326" tooltip="🔗 Ver Mapa" display="🔗 Ver Mapa" xr:uid="{00000000-0004-0000-0000-0000FD0C0000}"/>
    <hyperlink ref="L3347" r:id="rId3327" tooltip="🔗 Ver Mapa" display="🔗 Ver Mapa" xr:uid="{00000000-0004-0000-0000-0000FE0C0000}"/>
    <hyperlink ref="L3348" r:id="rId3328" tooltip="🔗 Ver Mapa" display="🔗 Ver Mapa" xr:uid="{00000000-0004-0000-0000-0000FF0C0000}"/>
    <hyperlink ref="L3349" r:id="rId3329" tooltip="🔗 Ver Mapa" display="🔗 Ver Mapa" xr:uid="{00000000-0004-0000-0000-0000000D0000}"/>
    <hyperlink ref="L3350" r:id="rId3330" tooltip="🔗 Ver Mapa" display="🔗 Ver Mapa" xr:uid="{00000000-0004-0000-0000-0000010D0000}"/>
    <hyperlink ref="L3351" r:id="rId3331" tooltip="🔗 Ver Mapa" display="🔗 Ver Mapa" xr:uid="{00000000-0004-0000-0000-0000020D0000}"/>
    <hyperlink ref="L3352" r:id="rId3332" tooltip="🔗 Ver Mapa" display="🔗 Ver Mapa" xr:uid="{00000000-0004-0000-0000-0000030D0000}"/>
    <hyperlink ref="L3353" r:id="rId3333" tooltip="🔗 Ver Mapa" display="🔗 Ver Mapa" xr:uid="{00000000-0004-0000-0000-0000040D0000}"/>
    <hyperlink ref="L3354" r:id="rId3334" tooltip="🔗 Ver Mapa" display="🔗 Ver Mapa" xr:uid="{00000000-0004-0000-0000-0000050D0000}"/>
    <hyperlink ref="L3355" r:id="rId3335" tooltip="🔗 Ver Mapa" display="🔗 Ver Mapa" xr:uid="{00000000-0004-0000-0000-0000060D0000}"/>
    <hyperlink ref="L3356" r:id="rId3336" tooltip="🔗 Ver Mapa" display="🔗 Ver Mapa" xr:uid="{00000000-0004-0000-0000-0000070D0000}"/>
    <hyperlink ref="L3357" r:id="rId3337" tooltip="🔗 Ver Mapa" display="🔗 Ver Mapa" xr:uid="{00000000-0004-0000-0000-0000080D0000}"/>
    <hyperlink ref="L3358" r:id="rId3338" tooltip="🔗 Ver Mapa" display="🔗 Ver Mapa" xr:uid="{00000000-0004-0000-0000-0000090D0000}"/>
    <hyperlink ref="L3359" r:id="rId3339" tooltip="🔗 Ver Mapa" display="🔗 Ver Mapa" xr:uid="{00000000-0004-0000-0000-00000A0D0000}"/>
    <hyperlink ref="L3360" r:id="rId3340" tooltip="🔗 Ver Mapa" display="🔗 Ver Mapa" xr:uid="{00000000-0004-0000-0000-00000B0D0000}"/>
    <hyperlink ref="L3361" r:id="rId3341" tooltip="🔗 Ver Mapa" display="🔗 Ver Mapa" xr:uid="{00000000-0004-0000-0000-00000C0D0000}"/>
    <hyperlink ref="L3362" r:id="rId3342" tooltip="🔗 Ver Mapa" display="🔗 Ver Mapa" xr:uid="{00000000-0004-0000-0000-00000D0D0000}"/>
    <hyperlink ref="L3363" r:id="rId3343" tooltip="🔗 Ver Mapa" display="🔗 Ver Mapa" xr:uid="{00000000-0004-0000-0000-00000E0D0000}"/>
    <hyperlink ref="L3364" r:id="rId3344" tooltip="🔗 Ver Mapa" display="🔗 Ver Mapa" xr:uid="{00000000-0004-0000-0000-00000F0D0000}"/>
    <hyperlink ref="L3365" r:id="rId3345" tooltip="🔗 Ver Mapa" display="🔗 Ver Mapa" xr:uid="{00000000-0004-0000-0000-0000100D0000}"/>
    <hyperlink ref="L3366" r:id="rId3346" tooltip="🔗 Ver Mapa" display="🔗 Ver Mapa" xr:uid="{00000000-0004-0000-0000-0000110D0000}"/>
    <hyperlink ref="L3367" r:id="rId3347" tooltip="🔗 Ver Mapa" display="🔗 Ver Mapa" xr:uid="{00000000-0004-0000-0000-0000120D0000}"/>
    <hyperlink ref="L3368" r:id="rId3348" tooltip="🔗 Ver Mapa" display="🔗 Ver Mapa" xr:uid="{00000000-0004-0000-0000-0000130D0000}"/>
    <hyperlink ref="L3369" r:id="rId3349" tooltip="🔗 Ver Mapa" display="🔗 Ver Mapa" xr:uid="{00000000-0004-0000-0000-0000140D0000}"/>
    <hyperlink ref="L3370" r:id="rId3350" tooltip="🔗 Ver Mapa" display="🔗 Ver Mapa" xr:uid="{00000000-0004-0000-0000-0000150D0000}"/>
    <hyperlink ref="L3371" r:id="rId3351" tooltip="🔗 Ver Mapa" display="🔗 Ver Mapa" xr:uid="{00000000-0004-0000-0000-0000160D0000}"/>
    <hyperlink ref="L3372" r:id="rId3352" tooltip="🔗 Ver Mapa" display="🔗 Ver Mapa" xr:uid="{00000000-0004-0000-0000-0000170D0000}"/>
    <hyperlink ref="L3373" r:id="rId3353" tooltip="🔗 Ver Mapa" display="🔗 Ver Mapa" xr:uid="{00000000-0004-0000-0000-0000180D0000}"/>
    <hyperlink ref="L3374" r:id="rId3354" tooltip="🔗 Ver Mapa" display="🔗 Ver Mapa" xr:uid="{00000000-0004-0000-0000-0000190D0000}"/>
    <hyperlink ref="L3375" r:id="rId3355" tooltip="🔗 Ver Mapa" display="🔗 Ver Mapa" xr:uid="{00000000-0004-0000-0000-00001A0D0000}"/>
    <hyperlink ref="L3376" r:id="rId3356" tooltip="🔗 Ver Mapa" display="🔗 Ver Mapa" xr:uid="{00000000-0004-0000-0000-00001B0D0000}"/>
    <hyperlink ref="L3377" r:id="rId3357" tooltip="🔗 Ver Mapa" display="🔗 Ver Mapa" xr:uid="{00000000-0004-0000-0000-00001C0D0000}"/>
    <hyperlink ref="L3378" r:id="rId3358" tooltip="🔗 Ver Mapa" display="🔗 Ver Mapa" xr:uid="{00000000-0004-0000-0000-00001D0D0000}"/>
    <hyperlink ref="L3379" r:id="rId3359" tooltip="🔗 Ver Mapa" display="🔗 Ver Mapa" xr:uid="{00000000-0004-0000-0000-00001E0D0000}"/>
    <hyperlink ref="L3380" r:id="rId3360" tooltip="🔗 Ver Mapa" display="🔗 Ver Mapa" xr:uid="{00000000-0004-0000-0000-00001F0D0000}"/>
    <hyperlink ref="L3381" r:id="rId3361" tooltip="🔗 Ver Mapa" display="🔗 Ver Mapa" xr:uid="{00000000-0004-0000-0000-0000200D0000}"/>
    <hyperlink ref="L3382" r:id="rId3362" tooltip="🔗 Ver Mapa" display="🔗 Ver Mapa" xr:uid="{00000000-0004-0000-0000-0000210D0000}"/>
    <hyperlink ref="L3383" r:id="rId3363" tooltip="🔗 Ver Mapa" display="🔗 Ver Mapa" xr:uid="{00000000-0004-0000-0000-0000220D0000}"/>
    <hyperlink ref="L3384" r:id="rId3364" tooltip="🔗 Ver Mapa" display="🔗 Ver Mapa" xr:uid="{00000000-0004-0000-0000-0000230D0000}"/>
    <hyperlink ref="L3385" r:id="rId3365" tooltip="🔗 Ver Mapa" display="🔗 Ver Mapa" xr:uid="{00000000-0004-0000-0000-0000240D0000}"/>
    <hyperlink ref="L3386" r:id="rId3366" tooltip="🔗 Ver Mapa" display="🔗 Ver Mapa" xr:uid="{00000000-0004-0000-0000-0000250D0000}"/>
    <hyperlink ref="L3387" r:id="rId3367" tooltip="🔗 Ver Mapa" display="🔗 Ver Mapa" xr:uid="{00000000-0004-0000-0000-0000260D0000}"/>
    <hyperlink ref="L3388" r:id="rId3368" tooltip="🔗 Ver Mapa" display="🔗 Ver Mapa" xr:uid="{00000000-0004-0000-0000-0000270D0000}"/>
    <hyperlink ref="L3389" r:id="rId3369" tooltip="🔗 Ver Mapa" display="🔗 Ver Mapa" xr:uid="{00000000-0004-0000-0000-0000280D0000}"/>
    <hyperlink ref="L3390" r:id="rId3370" tooltip="🔗 Ver Mapa" display="🔗 Ver Mapa" xr:uid="{00000000-0004-0000-0000-0000290D0000}"/>
    <hyperlink ref="L3391" r:id="rId3371" tooltip="🔗 Ver Mapa" display="🔗 Ver Mapa" xr:uid="{00000000-0004-0000-0000-00002A0D0000}"/>
    <hyperlink ref="L3392" r:id="rId3372" tooltip="🔗 Ver Mapa" display="🔗 Ver Mapa" xr:uid="{00000000-0004-0000-0000-00002B0D0000}"/>
    <hyperlink ref="L3393" r:id="rId3373" tooltip="🔗 Ver Mapa" display="🔗 Ver Mapa" xr:uid="{00000000-0004-0000-0000-00002C0D0000}"/>
    <hyperlink ref="L3394" r:id="rId3374" tooltip="🔗 Ver Mapa" display="🔗 Ver Mapa" xr:uid="{00000000-0004-0000-0000-00002D0D0000}"/>
    <hyperlink ref="L3395" r:id="rId3375" tooltip="🔗 Ver Mapa" display="🔗 Ver Mapa" xr:uid="{00000000-0004-0000-0000-00002E0D0000}"/>
    <hyperlink ref="L3396" r:id="rId3376" tooltip="🔗 Ver Mapa" display="🔗 Ver Mapa" xr:uid="{00000000-0004-0000-0000-00002F0D0000}"/>
    <hyperlink ref="L3397" r:id="rId3377" tooltip="🔗 Ver Mapa" display="🔗 Ver Mapa" xr:uid="{00000000-0004-0000-0000-0000300D0000}"/>
    <hyperlink ref="L3398" r:id="rId3378" tooltip="🔗 Ver Mapa" display="🔗 Ver Mapa" xr:uid="{00000000-0004-0000-0000-0000310D0000}"/>
    <hyperlink ref="L3399" r:id="rId3379" tooltip="🔗 Ver Mapa" display="🔗 Ver Mapa" xr:uid="{00000000-0004-0000-0000-0000320D0000}"/>
    <hyperlink ref="L3400" r:id="rId3380" tooltip="🔗 Ver Mapa" display="🔗 Ver Mapa" xr:uid="{00000000-0004-0000-0000-0000330D0000}"/>
    <hyperlink ref="L3401" r:id="rId3381" tooltip="🔗 Ver Mapa" display="🔗 Ver Mapa" xr:uid="{00000000-0004-0000-0000-0000340D0000}"/>
    <hyperlink ref="L3402" r:id="rId3382" tooltip="🔗 Ver Mapa" display="🔗 Ver Mapa" xr:uid="{00000000-0004-0000-0000-0000350D0000}"/>
    <hyperlink ref="L3403" r:id="rId3383" tooltip="🔗 Ver Mapa" display="🔗 Ver Mapa" xr:uid="{00000000-0004-0000-0000-0000360D0000}"/>
    <hyperlink ref="L3404" r:id="rId3384" tooltip="🔗 Ver Mapa" display="🔗 Ver Mapa" xr:uid="{00000000-0004-0000-0000-0000370D0000}"/>
    <hyperlink ref="L3405" r:id="rId3385" tooltip="🔗 Ver Mapa" display="🔗 Ver Mapa" xr:uid="{00000000-0004-0000-0000-0000380D0000}"/>
    <hyperlink ref="L3406" r:id="rId3386" tooltip="🔗 Ver Mapa" display="🔗 Ver Mapa" xr:uid="{00000000-0004-0000-0000-0000390D0000}"/>
    <hyperlink ref="L3407" r:id="rId3387" tooltip="🔗 Ver Mapa" display="🔗 Ver Mapa" xr:uid="{00000000-0004-0000-0000-00003A0D0000}"/>
    <hyperlink ref="L3408" r:id="rId3388" tooltip="🔗 Ver Mapa" display="🔗 Ver Mapa" xr:uid="{00000000-0004-0000-0000-00003B0D0000}"/>
    <hyperlink ref="L3409" r:id="rId3389" tooltip="🔗 Ver Mapa" display="🔗 Ver Mapa" xr:uid="{00000000-0004-0000-0000-00003C0D0000}"/>
    <hyperlink ref="L3410" r:id="rId3390" tooltip="🔗 Ver Mapa" display="🔗 Ver Mapa" xr:uid="{00000000-0004-0000-0000-00003D0D0000}"/>
    <hyperlink ref="L3411" r:id="rId3391" tooltip="🔗 Ver Mapa" display="🔗 Ver Mapa" xr:uid="{00000000-0004-0000-0000-00003E0D0000}"/>
    <hyperlink ref="L3412" r:id="rId3392" tooltip="🔗 Ver Mapa" display="🔗 Ver Mapa" xr:uid="{00000000-0004-0000-0000-00003F0D0000}"/>
    <hyperlink ref="L3413" r:id="rId3393" tooltip="🔗 Ver Mapa" display="🔗 Ver Mapa" xr:uid="{00000000-0004-0000-0000-0000400D0000}"/>
    <hyperlink ref="L3414" r:id="rId3394" tooltip="🔗 Ver Mapa" display="🔗 Ver Mapa" xr:uid="{00000000-0004-0000-0000-0000410D0000}"/>
    <hyperlink ref="L3415" r:id="rId3395" tooltip="🔗 Ver Mapa" display="🔗 Ver Mapa" xr:uid="{00000000-0004-0000-0000-0000420D0000}"/>
    <hyperlink ref="L3416" r:id="rId3396" tooltip="🔗 Ver Mapa" display="🔗 Ver Mapa" xr:uid="{00000000-0004-0000-0000-0000430D0000}"/>
    <hyperlink ref="L3417" r:id="rId3397" tooltip="🔗 Ver Mapa" display="🔗 Ver Mapa" xr:uid="{00000000-0004-0000-0000-0000440D0000}"/>
    <hyperlink ref="L3418" r:id="rId3398" tooltip="🔗 Ver Mapa" display="🔗 Ver Mapa" xr:uid="{00000000-0004-0000-0000-0000450D0000}"/>
    <hyperlink ref="L3419" r:id="rId3399" tooltip="🔗 Ver Mapa" display="🔗 Ver Mapa" xr:uid="{00000000-0004-0000-0000-0000460D0000}"/>
    <hyperlink ref="L3420" r:id="rId3400" tooltip="🔗 Ver Mapa" display="🔗 Ver Mapa" xr:uid="{00000000-0004-0000-0000-0000470D0000}"/>
    <hyperlink ref="L3421" r:id="rId3401" tooltip="🔗 Ver Mapa" display="🔗 Ver Mapa" xr:uid="{00000000-0004-0000-0000-0000480D0000}"/>
    <hyperlink ref="L3422" r:id="rId3402" tooltip="🔗 Ver Mapa" display="🔗 Ver Mapa" xr:uid="{00000000-0004-0000-0000-0000490D0000}"/>
    <hyperlink ref="L3423" r:id="rId3403" tooltip="🔗 Ver Mapa" display="🔗 Ver Mapa" xr:uid="{00000000-0004-0000-0000-00004A0D0000}"/>
    <hyperlink ref="L3424" r:id="rId3404" tooltip="🔗 Ver Mapa" display="🔗 Ver Mapa" xr:uid="{00000000-0004-0000-0000-00004B0D0000}"/>
    <hyperlink ref="L3425" r:id="rId3405" tooltip="🔗 Ver Mapa" display="🔗 Ver Mapa" xr:uid="{00000000-0004-0000-0000-00004C0D0000}"/>
    <hyperlink ref="L3426" r:id="rId3406" tooltip="🔗 Ver Mapa" display="🔗 Ver Mapa" xr:uid="{00000000-0004-0000-0000-00004D0D0000}"/>
    <hyperlink ref="L3427" r:id="rId3407" tooltip="🔗 Ver Mapa" display="🔗 Ver Mapa" xr:uid="{00000000-0004-0000-0000-00004E0D0000}"/>
    <hyperlink ref="L3428" r:id="rId3408" tooltip="🔗 Ver Mapa" display="🔗 Ver Mapa" xr:uid="{00000000-0004-0000-0000-00004F0D0000}"/>
    <hyperlink ref="L3429" r:id="rId3409" tooltip="🔗 Ver Mapa" display="🔗 Ver Mapa" xr:uid="{00000000-0004-0000-0000-0000500D0000}"/>
    <hyperlink ref="L3430" r:id="rId3410" tooltip="🔗 Ver Mapa" display="🔗 Ver Mapa" xr:uid="{00000000-0004-0000-0000-0000510D0000}"/>
    <hyperlink ref="L3431" r:id="rId3411" tooltip="🔗 Ver Mapa" display="🔗 Ver Mapa" xr:uid="{00000000-0004-0000-0000-0000520D0000}"/>
    <hyperlink ref="L3432" r:id="rId3412" tooltip="🔗 Ver Mapa" display="🔗 Ver Mapa" xr:uid="{00000000-0004-0000-0000-0000530D0000}"/>
    <hyperlink ref="L3433" r:id="rId3413" tooltip="🔗 Ver Mapa" display="🔗 Ver Mapa" xr:uid="{00000000-0004-0000-0000-0000540D0000}"/>
    <hyperlink ref="L3434" r:id="rId3414" tooltip="🔗 Ver Mapa" display="🔗 Ver Mapa" xr:uid="{00000000-0004-0000-0000-0000550D0000}"/>
    <hyperlink ref="L3435" r:id="rId3415" tooltip="🔗 Ver Mapa" display="🔗 Ver Mapa" xr:uid="{00000000-0004-0000-0000-0000560D0000}"/>
    <hyperlink ref="L3436" r:id="rId3416" tooltip="🔗 Ver Mapa" display="🔗 Ver Mapa" xr:uid="{00000000-0004-0000-0000-0000570D0000}"/>
    <hyperlink ref="L3437" r:id="rId3417" tooltip="🔗 Ver Mapa" display="🔗 Ver Mapa" xr:uid="{00000000-0004-0000-0000-0000580D0000}"/>
    <hyperlink ref="L3438" r:id="rId3418" tooltip="🔗 Ver Mapa" display="🔗 Ver Mapa" xr:uid="{00000000-0004-0000-0000-0000590D0000}"/>
    <hyperlink ref="L3439" r:id="rId3419" tooltip="🔗 Ver Mapa" display="🔗 Ver Mapa" xr:uid="{00000000-0004-0000-0000-00005A0D0000}"/>
    <hyperlink ref="L3440" r:id="rId3420" tooltip="🔗 Ver Mapa" display="🔗 Ver Mapa" xr:uid="{00000000-0004-0000-0000-00005B0D0000}"/>
    <hyperlink ref="L3441" r:id="rId3421" tooltip="🔗 Ver Mapa" display="🔗 Ver Mapa" xr:uid="{00000000-0004-0000-0000-00005C0D0000}"/>
    <hyperlink ref="L3442" r:id="rId3422" tooltip="🔗 Ver Mapa" display="🔗 Ver Mapa" xr:uid="{00000000-0004-0000-0000-00005D0D0000}"/>
    <hyperlink ref="L3443" r:id="rId3423" tooltip="🔗 Ver Mapa" display="🔗 Ver Mapa" xr:uid="{00000000-0004-0000-0000-00005E0D0000}"/>
    <hyperlink ref="L3444" r:id="rId3424" tooltip="🔗 Ver Mapa" display="🔗 Ver Mapa" xr:uid="{00000000-0004-0000-0000-00005F0D0000}"/>
    <hyperlink ref="L3445" r:id="rId3425" tooltip="🔗 Ver Mapa" display="🔗 Ver Mapa" xr:uid="{00000000-0004-0000-0000-0000600D0000}"/>
    <hyperlink ref="L3446" r:id="rId3426" tooltip="🔗 Ver Mapa" display="🔗 Ver Mapa" xr:uid="{00000000-0004-0000-0000-0000610D0000}"/>
    <hyperlink ref="L3447" r:id="rId3427" tooltip="🔗 Ver Mapa" display="🔗 Ver Mapa" xr:uid="{00000000-0004-0000-0000-0000620D0000}"/>
    <hyperlink ref="L3448" r:id="rId3428" tooltip="🔗 Ver Mapa" display="🔗 Ver Mapa" xr:uid="{00000000-0004-0000-0000-0000630D0000}"/>
    <hyperlink ref="L3449" r:id="rId3429" tooltip="🔗 Ver Mapa" display="🔗 Ver Mapa" xr:uid="{00000000-0004-0000-0000-0000640D0000}"/>
    <hyperlink ref="L3450" r:id="rId3430" tooltip="🔗 Ver Mapa" display="🔗 Ver Mapa" xr:uid="{00000000-0004-0000-0000-0000650D0000}"/>
    <hyperlink ref="L3451" r:id="rId3431" tooltip="🔗 Ver Mapa" display="🔗 Ver Mapa" xr:uid="{00000000-0004-0000-0000-0000660D0000}"/>
    <hyperlink ref="L3452" r:id="rId3432" tooltip="🔗 Ver Mapa" display="🔗 Ver Mapa" xr:uid="{00000000-0004-0000-0000-0000670D0000}"/>
    <hyperlink ref="L3453" r:id="rId3433" tooltip="🔗 Ver Mapa" display="🔗 Ver Mapa" xr:uid="{00000000-0004-0000-0000-0000680D0000}"/>
    <hyperlink ref="L3454" r:id="rId3434" tooltip="🔗 Ver Mapa" display="🔗 Ver Mapa" xr:uid="{00000000-0004-0000-0000-0000690D0000}"/>
    <hyperlink ref="L3455" r:id="rId3435" tooltip="🔗 Ver Mapa" display="🔗 Ver Mapa" xr:uid="{00000000-0004-0000-0000-00006A0D0000}"/>
    <hyperlink ref="L3456" r:id="rId3436" tooltip="🔗 Ver Mapa" display="🔗 Ver Mapa" xr:uid="{00000000-0004-0000-0000-00006B0D0000}"/>
    <hyperlink ref="L3457" r:id="rId3437" tooltip="🔗 Ver Mapa" display="🔗 Ver Mapa" xr:uid="{00000000-0004-0000-0000-00006C0D0000}"/>
    <hyperlink ref="L3458" r:id="rId3438" tooltip="🔗 Ver Mapa" display="🔗 Ver Mapa" xr:uid="{00000000-0004-0000-0000-00006D0D0000}"/>
    <hyperlink ref="L3459" r:id="rId3439" tooltip="🔗 Ver Mapa" display="🔗 Ver Mapa" xr:uid="{00000000-0004-0000-0000-00006E0D0000}"/>
    <hyperlink ref="L3460" r:id="rId3440" tooltip="🔗 Ver Mapa" display="🔗 Ver Mapa" xr:uid="{00000000-0004-0000-0000-00006F0D0000}"/>
    <hyperlink ref="L3461" r:id="rId3441" tooltip="🔗 Ver Mapa" display="🔗 Ver Mapa" xr:uid="{00000000-0004-0000-0000-0000700D0000}"/>
    <hyperlink ref="L3462" r:id="rId3442" tooltip="🔗 Ver Mapa" display="🔗 Ver Mapa" xr:uid="{00000000-0004-0000-0000-0000710D0000}"/>
    <hyperlink ref="L3463" r:id="rId3443" tooltip="🔗 Ver Mapa" display="🔗 Ver Mapa" xr:uid="{00000000-0004-0000-0000-0000720D0000}"/>
    <hyperlink ref="L3464" r:id="rId3444" tooltip="🔗 Ver Mapa" display="🔗 Ver Mapa" xr:uid="{00000000-0004-0000-0000-0000730D0000}"/>
    <hyperlink ref="L3465" r:id="rId3445" tooltip="🔗 Ver Mapa" display="🔗 Ver Mapa" xr:uid="{00000000-0004-0000-0000-0000740D0000}"/>
    <hyperlink ref="L3466" r:id="rId3446" tooltip="🔗 Ver Mapa" display="🔗 Ver Mapa" xr:uid="{00000000-0004-0000-0000-0000750D0000}"/>
    <hyperlink ref="L3467" r:id="rId3447" tooltip="🔗 Ver Mapa" display="🔗 Ver Mapa" xr:uid="{00000000-0004-0000-0000-0000760D0000}"/>
    <hyperlink ref="L3468" r:id="rId3448" tooltip="🔗 Ver Mapa" display="🔗 Ver Mapa" xr:uid="{00000000-0004-0000-0000-0000770D0000}"/>
    <hyperlink ref="L3469" r:id="rId3449" tooltip="🔗 Ver Mapa" display="🔗 Ver Mapa" xr:uid="{00000000-0004-0000-0000-0000780D0000}"/>
    <hyperlink ref="L3470" r:id="rId3450" tooltip="🔗 Ver Mapa" display="🔗 Ver Mapa" xr:uid="{00000000-0004-0000-0000-0000790D0000}"/>
    <hyperlink ref="L3471" r:id="rId3451" tooltip="🔗 Ver Mapa" display="🔗 Ver Mapa" xr:uid="{00000000-0004-0000-0000-00007A0D0000}"/>
    <hyperlink ref="L3472" r:id="rId3452" tooltip="🔗 Ver Mapa" display="🔗 Ver Mapa" xr:uid="{00000000-0004-0000-0000-00007B0D0000}"/>
    <hyperlink ref="L3473" r:id="rId3453" tooltip="🔗 Ver Mapa" display="🔗 Ver Mapa" xr:uid="{00000000-0004-0000-0000-00007C0D0000}"/>
    <hyperlink ref="L3474" r:id="rId3454" tooltip="🔗 Ver Mapa" display="🔗 Ver Mapa" xr:uid="{00000000-0004-0000-0000-00007D0D0000}"/>
    <hyperlink ref="L3475" r:id="rId3455" tooltip="🔗 Ver Mapa" display="🔗 Ver Mapa" xr:uid="{00000000-0004-0000-0000-00007E0D0000}"/>
    <hyperlink ref="L3476" r:id="rId3456" tooltip="🔗 Ver Mapa" display="🔗 Ver Mapa" xr:uid="{00000000-0004-0000-0000-00007F0D0000}"/>
    <hyperlink ref="L3477" r:id="rId3457" tooltip="🔗 Ver Mapa" display="🔗 Ver Mapa" xr:uid="{00000000-0004-0000-0000-0000800D0000}"/>
    <hyperlink ref="L3478" r:id="rId3458" tooltip="🔗 Ver Mapa" display="🔗 Ver Mapa" xr:uid="{00000000-0004-0000-0000-0000810D0000}"/>
    <hyperlink ref="L3479" r:id="rId3459" tooltip="🔗 Ver Mapa" display="🔗 Ver Mapa" xr:uid="{00000000-0004-0000-0000-0000820D0000}"/>
    <hyperlink ref="L3480" r:id="rId3460" tooltip="🔗 Ver Mapa" display="🔗 Ver Mapa" xr:uid="{00000000-0004-0000-0000-0000830D0000}"/>
    <hyperlink ref="L3481" r:id="rId3461" tooltip="🔗 Ver Mapa" display="🔗 Ver Mapa" xr:uid="{00000000-0004-0000-0000-0000840D0000}"/>
    <hyperlink ref="L3482" r:id="rId3462" tooltip="🔗 Ver Mapa" display="🔗 Ver Mapa" xr:uid="{00000000-0004-0000-0000-0000850D0000}"/>
    <hyperlink ref="L3483" r:id="rId3463" tooltip="🔗 Ver Mapa" display="🔗 Ver Mapa" xr:uid="{00000000-0004-0000-0000-0000860D0000}"/>
    <hyperlink ref="L3484" r:id="rId3464" tooltip="🔗 Ver Mapa" display="🔗 Ver Mapa" xr:uid="{00000000-0004-0000-0000-0000870D0000}"/>
    <hyperlink ref="L3485" r:id="rId3465" tooltip="🔗 Ver Mapa" display="🔗 Ver Mapa" xr:uid="{00000000-0004-0000-0000-0000880D0000}"/>
    <hyperlink ref="L3486" r:id="rId3466" tooltip="🔗 Ver Mapa" display="🔗 Ver Mapa" xr:uid="{00000000-0004-0000-0000-0000890D0000}"/>
    <hyperlink ref="L3487" r:id="rId3467" tooltip="🔗 Ver Mapa" display="🔗 Ver Mapa" xr:uid="{00000000-0004-0000-0000-00008A0D0000}"/>
    <hyperlink ref="L3488" r:id="rId3468" tooltip="🔗 Ver Mapa" display="🔗 Ver Mapa" xr:uid="{00000000-0004-0000-0000-00008B0D0000}"/>
    <hyperlink ref="L3489" r:id="rId3469" tooltip="🔗 Ver Mapa" display="🔗 Ver Mapa" xr:uid="{00000000-0004-0000-0000-00008C0D0000}"/>
    <hyperlink ref="L3490" r:id="rId3470" tooltip="🔗 Ver Mapa" display="🔗 Ver Mapa" xr:uid="{00000000-0004-0000-0000-00008D0D0000}"/>
    <hyperlink ref="L3491" r:id="rId3471" tooltip="🔗 Ver Mapa" display="🔗 Ver Mapa" xr:uid="{00000000-0004-0000-0000-00008E0D0000}"/>
    <hyperlink ref="L3492" r:id="rId3472" tooltip="🔗 Ver Mapa" display="🔗 Ver Mapa" xr:uid="{00000000-0004-0000-0000-00008F0D0000}"/>
    <hyperlink ref="L3493" r:id="rId3473" tooltip="🔗 Ver Mapa" display="🔗 Ver Mapa" xr:uid="{00000000-0004-0000-0000-0000900D0000}"/>
    <hyperlink ref="L3494" r:id="rId3474" tooltip="🔗 Ver Mapa" display="🔗 Ver Mapa" xr:uid="{00000000-0004-0000-0000-0000910D0000}"/>
    <hyperlink ref="L3495" r:id="rId3475" tooltip="🔗 Ver Mapa" display="🔗 Ver Mapa" xr:uid="{00000000-0004-0000-0000-0000920D0000}"/>
    <hyperlink ref="L3496" r:id="rId3476" tooltip="🔗 Ver Mapa" display="🔗 Ver Mapa" xr:uid="{00000000-0004-0000-0000-0000930D0000}"/>
    <hyperlink ref="L3497" r:id="rId3477" tooltip="🔗 Ver Mapa" display="🔗 Ver Mapa" xr:uid="{00000000-0004-0000-0000-0000940D0000}"/>
    <hyperlink ref="L3498" r:id="rId3478" tooltip="🔗 Ver Mapa" display="🔗 Ver Mapa" xr:uid="{00000000-0004-0000-0000-0000950D0000}"/>
    <hyperlink ref="L3499" r:id="rId3479" tooltip="🔗 Ver Mapa" display="🔗 Ver Mapa" xr:uid="{00000000-0004-0000-0000-0000960D0000}"/>
    <hyperlink ref="L3500" r:id="rId3480" tooltip="🔗 Ver Mapa" display="🔗 Ver Mapa" xr:uid="{00000000-0004-0000-0000-0000970D0000}"/>
    <hyperlink ref="L3501" r:id="rId3481" tooltip="🔗 Ver Mapa" display="🔗 Ver Mapa" xr:uid="{00000000-0004-0000-0000-0000980D0000}"/>
    <hyperlink ref="L3502" r:id="rId3482" tooltip="🔗 Ver Mapa" display="🔗 Ver Mapa" xr:uid="{00000000-0004-0000-0000-0000990D0000}"/>
    <hyperlink ref="L3503" r:id="rId3483" tooltip="🔗 Ver Mapa" display="🔗 Ver Mapa" xr:uid="{00000000-0004-0000-0000-00009A0D0000}"/>
    <hyperlink ref="L3504" r:id="rId3484" tooltip="🔗 Ver Mapa" display="🔗 Ver Mapa" xr:uid="{00000000-0004-0000-0000-00009B0D0000}"/>
    <hyperlink ref="L3505" r:id="rId3485" tooltip="🔗 Ver Mapa" display="🔗 Ver Mapa" xr:uid="{00000000-0004-0000-0000-00009C0D0000}"/>
    <hyperlink ref="L3506" r:id="rId3486" tooltip="🔗 Ver Mapa" display="🔗 Ver Mapa" xr:uid="{00000000-0004-0000-0000-00009D0D0000}"/>
    <hyperlink ref="L3507" r:id="rId3487" tooltip="🔗 Ver Mapa" display="🔗 Ver Mapa" xr:uid="{00000000-0004-0000-0000-00009E0D0000}"/>
    <hyperlink ref="L3508" r:id="rId3488" tooltip="🔗 Ver Mapa" display="🔗 Ver Mapa" xr:uid="{00000000-0004-0000-0000-00009F0D0000}"/>
    <hyperlink ref="L3509" r:id="rId3489" tooltip="🔗 Ver Mapa" display="🔗 Ver Mapa" xr:uid="{00000000-0004-0000-0000-0000A00D0000}"/>
    <hyperlink ref="L3510" r:id="rId3490" tooltip="🔗 Ver Mapa" display="🔗 Ver Mapa" xr:uid="{00000000-0004-0000-0000-0000A10D0000}"/>
    <hyperlink ref="L3511" r:id="rId3491" tooltip="🔗 Ver Mapa" display="🔗 Ver Mapa" xr:uid="{00000000-0004-0000-0000-0000A20D0000}"/>
    <hyperlink ref="L3512" r:id="rId3492" tooltip="🔗 Ver Mapa" display="🔗 Ver Mapa" xr:uid="{00000000-0004-0000-0000-0000A30D0000}"/>
    <hyperlink ref="L3513" r:id="rId3493" tooltip="🔗 Ver Mapa" display="🔗 Ver Mapa" xr:uid="{00000000-0004-0000-0000-0000A40D0000}"/>
    <hyperlink ref="L3514" r:id="rId3494" tooltip="🔗 Ver Mapa" display="🔗 Ver Mapa" xr:uid="{00000000-0004-0000-0000-0000A50D0000}"/>
    <hyperlink ref="L3515" r:id="rId3495" tooltip="🔗 Ver Mapa" display="🔗 Ver Mapa" xr:uid="{00000000-0004-0000-0000-0000A60D0000}"/>
    <hyperlink ref="L3516" r:id="rId3496" tooltip="🔗 Ver Mapa" display="🔗 Ver Mapa" xr:uid="{00000000-0004-0000-0000-0000A70D0000}"/>
    <hyperlink ref="L3517" r:id="rId3497" tooltip="🔗 Ver Mapa" display="🔗 Ver Mapa" xr:uid="{00000000-0004-0000-0000-0000A80D0000}"/>
    <hyperlink ref="L3518" r:id="rId3498" tooltip="🔗 Ver Mapa" display="🔗 Ver Mapa" xr:uid="{00000000-0004-0000-0000-0000A90D0000}"/>
    <hyperlink ref="L3519" r:id="rId3499" tooltip="🔗 Ver Mapa" display="🔗 Ver Mapa" xr:uid="{00000000-0004-0000-0000-0000AA0D0000}"/>
    <hyperlink ref="L3520" r:id="rId3500" tooltip="🔗 Ver Mapa" display="🔗 Ver Mapa" xr:uid="{00000000-0004-0000-0000-0000AB0D0000}"/>
    <hyperlink ref="L3521" r:id="rId3501" tooltip="🔗 Ver Mapa" display="🔗 Ver Mapa" xr:uid="{00000000-0004-0000-0000-0000AC0D0000}"/>
    <hyperlink ref="L3522" r:id="rId3502" tooltip="🔗 Ver Mapa" display="🔗 Ver Mapa" xr:uid="{00000000-0004-0000-0000-0000AD0D0000}"/>
    <hyperlink ref="L3523" r:id="rId3503" tooltip="🔗 Ver Mapa" display="🔗 Ver Mapa" xr:uid="{00000000-0004-0000-0000-0000AE0D0000}"/>
    <hyperlink ref="L3524" r:id="rId3504" tooltip="🔗 Ver Mapa" display="🔗 Ver Mapa" xr:uid="{00000000-0004-0000-0000-0000AF0D0000}"/>
    <hyperlink ref="L3525" r:id="rId3505" tooltip="🔗 Ver Mapa" display="🔗 Ver Mapa" xr:uid="{00000000-0004-0000-0000-0000B00D0000}"/>
    <hyperlink ref="L3526" r:id="rId3506" tooltip="🔗 Ver Mapa" display="🔗 Ver Mapa" xr:uid="{00000000-0004-0000-0000-0000B10D0000}"/>
    <hyperlink ref="L3527" r:id="rId3507" tooltip="🔗 Ver Mapa" display="🔗 Ver Mapa" xr:uid="{00000000-0004-0000-0000-0000B20D0000}"/>
    <hyperlink ref="L3528" r:id="rId3508" tooltip="🔗 Ver Mapa" display="🔗 Ver Mapa" xr:uid="{00000000-0004-0000-0000-0000B30D0000}"/>
    <hyperlink ref="L3529" r:id="rId3509" tooltip="🔗 Ver Mapa" display="🔗 Ver Mapa" xr:uid="{00000000-0004-0000-0000-0000B40D0000}"/>
    <hyperlink ref="L3530" r:id="rId3510" tooltip="🔗 Ver Mapa" display="🔗 Ver Mapa" xr:uid="{00000000-0004-0000-0000-0000B50D0000}"/>
    <hyperlink ref="L3531" r:id="rId3511" tooltip="🔗 Ver Mapa" display="🔗 Ver Mapa" xr:uid="{00000000-0004-0000-0000-0000B60D0000}"/>
    <hyperlink ref="L3532" r:id="rId3512" tooltip="🔗 Ver Mapa" display="🔗 Ver Mapa" xr:uid="{00000000-0004-0000-0000-0000B70D0000}"/>
    <hyperlink ref="L3533" r:id="rId3513" tooltip="🔗 Ver Mapa" display="🔗 Ver Mapa" xr:uid="{00000000-0004-0000-0000-0000B80D0000}"/>
    <hyperlink ref="L3534" r:id="rId3514" tooltip="🔗 Ver Mapa" display="🔗 Ver Mapa" xr:uid="{00000000-0004-0000-0000-0000B90D0000}"/>
    <hyperlink ref="L3535" r:id="rId3515" tooltip="🔗 Ver Mapa" display="🔗 Ver Mapa" xr:uid="{00000000-0004-0000-0000-0000BA0D0000}"/>
    <hyperlink ref="L3536" r:id="rId3516" tooltip="🔗 Ver Mapa" display="🔗 Ver Mapa" xr:uid="{00000000-0004-0000-0000-0000BB0D0000}"/>
    <hyperlink ref="L3537" r:id="rId3517" tooltip="🔗 Ver Mapa" display="🔗 Ver Mapa" xr:uid="{00000000-0004-0000-0000-0000BC0D0000}"/>
    <hyperlink ref="L3538" r:id="rId3518" tooltip="🔗 Ver Mapa" display="🔗 Ver Mapa" xr:uid="{00000000-0004-0000-0000-0000BD0D0000}"/>
    <hyperlink ref="L3539" r:id="rId3519" tooltip="🔗 Ver Mapa" display="🔗 Ver Mapa" xr:uid="{00000000-0004-0000-0000-0000BE0D0000}"/>
    <hyperlink ref="L3540" r:id="rId3520" tooltip="🔗 Ver Mapa" display="🔗 Ver Mapa" xr:uid="{00000000-0004-0000-0000-0000BF0D0000}"/>
    <hyperlink ref="L3541" r:id="rId3521" tooltip="🔗 Ver Mapa" display="🔗 Ver Mapa" xr:uid="{00000000-0004-0000-0000-0000C00D0000}"/>
    <hyperlink ref="L3542" r:id="rId3522" tooltip="🔗 Ver Mapa" display="🔗 Ver Mapa" xr:uid="{00000000-0004-0000-0000-0000C10D0000}"/>
    <hyperlink ref="L3543" r:id="rId3523" tooltip="🔗 Ver Mapa" display="🔗 Ver Mapa" xr:uid="{00000000-0004-0000-0000-0000C20D0000}"/>
    <hyperlink ref="L3544" r:id="rId3524" tooltip="🔗 Ver Mapa" display="🔗 Ver Mapa" xr:uid="{00000000-0004-0000-0000-0000C30D0000}"/>
    <hyperlink ref="L3545" r:id="rId3525" tooltip="🔗 Ver Mapa" display="🔗 Ver Mapa" xr:uid="{00000000-0004-0000-0000-0000C40D0000}"/>
    <hyperlink ref="L3546" r:id="rId3526" tooltip="🔗 Ver Mapa" display="🔗 Ver Mapa" xr:uid="{00000000-0004-0000-0000-0000C50D0000}"/>
    <hyperlink ref="L3547" r:id="rId3527" tooltip="🔗 Ver Mapa" display="🔗 Ver Mapa" xr:uid="{00000000-0004-0000-0000-0000C60D0000}"/>
    <hyperlink ref="L3548" r:id="rId3528" tooltip="🔗 Ver Mapa" display="🔗 Ver Mapa" xr:uid="{00000000-0004-0000-0000-0000C70D0000}"/>
    <hyperlink ref="L3549" r:id="rId3529" tooltip="🔗 Ver Mapa" display="🔗 Ver Mapa" xr:uid="{00000000-0004-0000-0000-0000C80D0000}"/>
    <hyperlink ref="L3550" r:id="rId3530" tooltip="🔗 Ver Mapa" display="🔗 Ver Mapa" xr:uid="{00000000-0004-0000-0000-0000C90D0000}"/>
    <hyperlink ref="L3551" r:id="rId3531" tooltip="🔗 Ver Mapa" display="🔗 Ver Mapa" xr:uid="{00000000-0004-0000-0000-0000CA0D0000}"/>
    <hyperlink ref="L3552" r:id="rId3532" tooltip="🔗 Ver Mapa" display="🔗 Ver Mapa" xr:uid="{00000000-0004-0000-0000-0000CB0D0000}"/>
    <hyperlink ref="L3553" r:id="rId3533" tooltip="🔗 Ver Mapa" display="🔗 Ver Mapa" xr:uid="{00000000-0004-0000-0000-0000CC0D0000}"/>
    <hyperlink ref="L3554" r:id="rId3534" tooltip="🔗 Ver Mapa" display="🔗 Ver Mapa" xr:uid="{00000000-0004-0000-0000-0000CD0D0000}"/>
    <hyperlink ref="L3555" r:id="rId3535" tooltip="🔗 Ver Mapa" display="🔗 Ver Mapa" xr:uid="{00000000-0004-0000-0000-0000CE0D0000}"/>
    <hyperlink ref="L3556" r:id="rId3536" tooltip="🔗 Ver Mapa" display="🔗 Ver Mapa" xr:uid="{00000000-0004-0000-0000-0000CF0D0000}"/>
    <hyperlink ref="L3557" r:id="rId3537" tooltip="🔗 Ver Mapa" display="🔗 Ver Mapa" xr:uid="{00000000-0004-0000-0000-0000D00D0000}"/>
    <hyperlink ref="L3558" r:id="rId3538" tooltip="🔗 Ver Mapa" display="🔗 Ver Mapa" xr:uid="{00000000-0004-0000-0000-0000D10D0000}"/>
    <hyperlink ref="L3559" r:id="rId3539" tooltip="🔗 Ver Mapa" display="🔗 Ver Mapa" xr:uid="{00000000-0004-0000-0000-0000D20D0000}"/>
    <hyperlink ref="L3560" r:id="rId3540" tooltip="🔗 Ver Mapa" display="🔗 Ver Mapa" xr:uid="{00000000-0004-0000-0000-0000D30D0000}"/>
    <hyperlink ref="L3561" r:id="rId3541" tooltip="🔗 Ver Mapa" display="🔗 Ver Mapa" xr:uid="{00000000-0004-0000-0000-0000D40D0000}"/>
    <hyperlink ref="L3562" r:id="rId3542" tooltip="🔗 Ver Mapa" display="🔗 Ver Mapa" xr:uid="{00000000-0004-0000-0000-0000D50D0000}"/>
    <hyperlink ref="L3563" r:id="rId3543" tooltip="🔗 Ver Mapa" display="🔗 Ver Mapa" xr:uid="{00000000-0004-0000-0000-0000D60D0000}"/>
    <hyperlink ref="L3564" r:id="rId3544" tooltip="🔗 Ver Mapa" display="🔗 Ver Mapa" xr:uid="{00000000-0004-0000-0000-0000D70D0000}"/>
    <hyperlink ref="L3565" r:id="rId3545" tooltip="🔗 Ver Mapa" display="🔗 Ver Mapa" xr:uid="{00000000-0004-0000-0000-0000D80D0000}"/>
    <hyperlink ref="L3566" r:id="rId3546" tooltip="🔗 Ver Mapa" display="🔗 Ver Mapa" xr:uid="{00000000-0004-0000-0000-0000D90D0000}"/>
    <hyperlink ref="L3567" r:id="rId3547" tooltip="🔗 Ver Mapa" display="🔗 Ver Mapa" xr:uid="{00000000-0004-0000-0000-0000DA0D0000}"/>
    <hyperlink ref="L3568" r:id="rId3548" tooltip="🔗 Ver Mapa" display="🔗 Ver Mapa" xr:uid="{00000000-0004-0000-0000-0000DB0D0000}"/>
    <hyperlink ref="L3569" r:id="rId3549" tooltip="🔗 Ver Mapa" display="🔗 Ver Mapa" xr:uid="{00000000-0004-0000-0000-0000DC0D0000}"/>
    <hyperlink ref="L3570" r:id="rId3550" tooltip="🔗 Ver Mapa" display="🔗 Ver Mapa" xr:uid="{00000000-0004-0000-0000-0000DD0D0000}"/>
    <hyperlink ref="L3571" r:id="rId3551" tooltip="🔗 Ver Mapa" display="🔗 Ver Mapa" xr:uid="{00000000-0004-0000-0000-0000DE0D0000}"/>
    <hyperlink ref="L3572" r:id="rId3552" tooltip="🔗 Ver Mapa" display="🔗 Ver Mapa" xr:uid="{00000000-0004-0000-0000-0000DF0D0000}"/>
    <hyperlink ref="L3573" r:id="rId3553" tooltip="🔗 Ver Mapa" display="🔗 Ver Mapa" xr:uid="{00000000-0004-0000-0000-0000E00D0000}"/>
    <hyperlink ref="L3574" r:id="rId3554" tooltip="🔗 Ver Mapa" display="🔗 Ver Mapa" xr:uid="{00000000-0004-0000-0000-0000E10D0000}"/>
    <hyperlink ref="L3575" r:id="rId3555" tooltip="🔗 Ver Mapa" display="🔗 Ver Mapa" xr:uid="{00000000-0004-0000-0000-0000E20D0000}"/>
    <hyperlink ref="L3576" r:id="rId3556" tooltip="🔗 Ver Mapa" display="🔗 Ver Mapa" xr:uid="{00000000-0004-0000-0000-0000E30D0000}"/>
    <hyperlink ref="L3577" r:id="rId3557" tooltip="🔗 Ver Mapa" display="🔗 Ver Mapa" xr:uid="{00000000-0004-0000-0000-0000E40D0000}"/>
    <hyperlink ref="L3578" r:id="rId3558" tooltip="🔗 Ver Mapa" display="🔗 Ver Mapa" xr:uid="{00000000-0004-0000-0000-0000E50D0000}"/>
    <hyperlink ref="L3579" r:id="rId3559" tooltip="🔗 Ver Mapa" display="🔗 Ver Mapa" xr:uid="{00000000-0004-0000-0000-0000E60D0000}"/>
    <hyperlink ref="L3580" r:id="rId3560" tooltip="🔗 Ver Mapa" display="🔗 Ver Mapa" xr:uid="{00000000-0004-0000-0000-0000E70D0000}"/>
    <hyperlink ref="L3581" r:id="rId3561" tooltip="🔗 Ver Mapa" display="🔗 Ver Mapa" xr:uid="{00000000-0004-0000-0000-0000E80D0000}"/>
    <hyperlink ref="L3582" r:id="rId3562" tooltip="🔗 Ver Mapa" display="🔗 Ver Mapa" xr:uid="{00000000-0004-0000-0000-0000E90D0000}"/>
    <hyperlink ref="L3583" r:id="rId3563" tooltip="🔗 Ver Mapa" display="🔗 Ver Mapa" xr:uid="{00000000-0004-0000-0000-0000EA0D0000}"/>
    <hyperlink ref="L3584" r:id="rId3564" tooltip="🔗 Ver Mapa" display="🔗 Ver Mapa" xr:uid="{00000000-0004-0000-0000-0000EB0D0000}"/>
    <hyperlink ref="L3585" r:id="rId3565" tooltip="🔗 Ver Mapa" display="🔗 Ver Mapa" xr:uid="{00000000-0004-0000-0000-0000EC0D0000}"/>
    <hyperlink ref="L3586" r:id="rId3566" tooltip="🔗 Ver Mapa" display="🔗 Ver Mapa" xr:uid="{00000000-0004-0000-0000-0000ED0D0000}"/>
    <hyperlink ref="L3587" r:id="rId3567" tooltip="🔗 Ver Mapa" display="🔗 Ver Mapa" xr:uid="{00000000-0004-0000-0000-0000EE0D0000}"/>
    <hyperlink ref="L3588" r:id="rId3568" tooltip="🔗 Ver Mapa" display="🔗 Ver Mapa" xr:uid="{00000000-0004-0000-0000-0000EF0D0000}"/>
    <hyperlink ref="L3589" r:id="rId3569" tooltip="🔗 Ver Mapa" display="🔗 Ver Mapa" xr:uid="{00000000-0004-0000-0000-0000F00D0000}"/>
    <hyperlink ref="L3590" r:id="rId3570" tooltip="🔗 Ver Mapa" display="🔗 Ver Mapa" xr:uid="{00000000-0004-0000-0000-0000F10D0000}"/>
    <hyperlink ref="L3591" r:id="rId3571" tooltip="🔗 Ver Mapa" display="🔗 Ver Mapa" xr:uid="{00000000-0004-0000-0000-0000F20D0000}"/>
    <hyperlink ref="L3592" r:id="rId3572" tooltip="🔗 Ver Mapa" display="🔗 Ver Mapa" xr:uid="{00000000-0004-0000-0000-0000F30D0000}"/>
    <hyperlink ref="L3593" r:id="rId3573" tooltip="🔗 Ver Mapa" display="🔗 Ver Mapa" xr:uid="{00000000-0004-0000-0000-0000F40D0000}"/>
    <hyperlink ref="L3594" r:id="rId3574" tooltip="🔗 Ver Mapa" display="🔗 Ver Mapa" xr:uid="{00000000-0004-0000-0000-0000F50D0000}"/>
    <hyperlink ref="L3595" r:id="rId3575" tooltip="🔗 Ver Mapa" display="🔗 Ver Mapa" xr:uid="{00000000-0004-0000-0000-0000F60D0000}"/>
    <hyperlink ref="L3596" r:id="rId3576" tooltip="🔗 Ver Mapa" display="🔗 Ver Mapa" xr:uid="{00000000-0004-0000-0000-0000F70D0000}"/>
    <hyperlink ref="L3597" r:id="rId3577" tooltip="🔗 Ver Mapa" display="🔗 Ver Mapa" xr:uid="{00000000-0004-0000-0000-0000F80D0000}"/>
    <hyperlink ref="L3598" r:id="rId3578" tooltip="🔗 Ver Mapa" display="🔗 Ver Mapa" xr:uid="{00000000-0004-0000-0000-0000F90D0000}"/>
    <hyperlink ref="L3599" r:id="rId3579" tooltip="🔗 Ver Mapa" display="🔗 Ver Mapa" xr:uid="{00000000-0004-0000-0000-0000FA0D0000}"/>
    <hyperlink ref="L3600" r:id="rId3580" tooltip="🔗 Ver Mapa" display="🔗 Ver Mapa" xr:uid="{00000000-0004-0000-0000-0000FB0D0000}"/>
    <hyperlink ref="L3601" r:id="rId3581" tooltip="🔗 Ver Mapa" display="🔗 Ver Mapa" xr:uid="{00000000-0004-0000-0000-0000FC0D0000}"/>
    <hyperlink ref="L3602" r:id="rId3582" tooltip="🔗 Ver Mapa" display="🔗 Ver Mapa" xr:uid="{00000000-0004-0000-0000-0000FD0D0000}"/>
    <hyperlink ref="L3603" r:id="rId3583" tooltip="🔗 Ver Mapa" display="🔗 Ver Mapa" xr:uid="{00000000-0004-0000-0000-0000FE0D0000}"/>
    <hyperlink ref="L3604" r:id="rId3584" tooltip="🔗 Ver Mapa" display="🔗 Ver Mapa" xr:uid="{00000000-0004-0000-0000-0000FF0D0000}"/>
    <hyperlink ref="L3605" r:id="rId3585" tooltip="🔗 Ver Mapa" display="🔗 Ver Mapa" xr:uid="{00000000-0004-0000-0000-0000000E0000}"/>
    <hyperlink ref="L3606" r:id="rId3586" tooltip="🔗 Ver Mapa" display="🔗 Ver Mapa" xr:uid="{00000000-0004-0000-0000-0000010E0000}"/>
    <hyperlink ref="L3607" r:id="rId3587" tooltip="🔗 Ver Mapa" display="🔗 Ver Mapa" xr:uid="{00000000-0004-0000-0000-0000020E0000}"/>
    <hyperlink ref="L3608" r:id="rId3588" tooltip="🔗 Ver Mapa" display="🔗 Ver Mapa" xr:uid="{00000000-0004-0000-0000-0000030E0000}"/>
    <hyperlink ref="L3609" r:id="rId3589" tooltip="🔗 Ver Mapa" display="🔗 Ver Mapa" xr:uid="{00000000-0004-0000-0000-0000040E0000}"/>
    <hyperlink ref="L3610" r:id="rId3590" tooltip="🔗 Ver Mapa" display="🔗 Ver Mapa" xr:uid="{00000000-0004-0000-0000-0000050E0000}"/>
    <hyperlink ref="L3611" r:id="rId3591" tooltip="🔗 Ver Mapa" display="🔗 Ver Mapa" xr:uid="{00000000-0004-0000-0000-0000060E0000}"/>
    <hyperlink ref="L3612" r:id="rId3592" tooltip="🔗 Ver Mapa" display="🔗 Ver Mapa" xr:uid="{00000000-0004-0000-0000-0000070E0000}"/>
    <hyperlink ref="L3613" r:id="rId3593" tooltip="🔗 Ver Mapa" display="🔗 Ver Mapa" xr:uid="{00000000-0004-0000-0000-0000080E0000}"/>
    <hyperlink ref="L3614" r:id="rId3594" tooltip="🔗 Ver Mapa" display="🔗 Ver Mapa" xr:uid="{00000000-0004-0000-0000-0000090E0000}"/>
    <hyperlink ref="L3615" r:id="rId3595" tooltip="🔗 Ver Mapa" display="🔗 Ver Mapa" xr:uid="{00000000-0004-0000-0000-00000A0E0000}"/>
    <hyperlink ref="L3616" r:id="rId3596" tooltip="🔗 Ver Mapa" display="🔗 Ver Mapa" xr:uid="{00000000-0004-0000-0000-00000B0E0000}"/>
    <hyperlink ref="L3617" r:id="rId3597" tooltip="🔗 Ver Mapa" display="🔗 Ver Mapa" xr:uid="{00000000-0004-0000-0000-00000C0E0000}"/>
    <hyperlink ref="L3618" r:id="rId3598" tooltip="🔗 Ver Mapa" display="🔗 Ver Mapa" xr:uid="{00000000-0004-0000-0000-00000D0E0000}"/>
    <hyperlink ref="L3619" r:id="rId3599" tooltip="🔗 Ver Mapa" display="🔗 Ver Mapa" xr:uid="{00000000-0004-0000-0000-00000E0E0000}"/>
    <hyperlink ref="L3620" r:id="rId3600" tooltip="🔗 Ver Mapa" display="🔗 Ver Mapa" xr:uid="{00000000-0004-0000-0000-00000F0E0000}"/>
    <hyperlink ref="L3621" r:id="rId3601" tooltip="🔗 Ver Mapa" display="🔗 Ver Mapa" xr:uid="{00000000-0004-0000-0000-0000100E0000}"/>
    <hyperlink ref="L3622" r:id="rId3602" tooltip="🔗 Ver Mapa" display="🔗 Ver Mapa" xr:uid="{00000000-0004-0000-0000-0000110E0000}"/>
    <hyperlink ref="L3623" r:id="rId3603" tooltip="🔗 Ver Mapa" display="🔗 Ver Mapa" xr:uid="{00000000-0004-0000-0000-0000120E0000}"/>
    <hyperlink ref="L3624" r:id="rId3604" tooltip="🔗 Ver Mapa" display="🔗 Ver Mapa" xr:uid="{00000000-0004-0000-0000-0000130E0000}"/>
    <hyperlink ref="L3625" r:id="rId3605" tooltip="🔗 Ver Mapa" display="🔗 Ver Mapa" xr:uid="{00000000-0004-0000-0000-0000140E0000}"/>
    <hyperlink ref="L3626" r:id="rId3606" tooltip="🔗 Ver Mapa" display="🔗 Ver Mapa" xr:uid="{00000000-0004-0000-0000-0000150E0000}"/>
    <hyperlink ref="L3627" r:id="rId3607" tooltip="🔗 Ver Mapa" display="🔗 Ver Mapa" xr:uid="{00000000-0004-0000-0000-0000160E0000}"/>
    <hyperlink ref="L3628" r:id="rId3608" tooltip="🔗 Ver Mapa" display="🔗 Ver Mapa" xr:uid="{00000000-0004-0000-0000-0000170E0000}"/>
    <hyperlink ref="L3629" r:id="rId3609" tooltip="🔗 Ver Mapa" display="🔗 Ver Mapa" xr:uid="{00000000-0004-0000-0000-0000180E0000}"/>
    <hyperlink ref="L3630" r:id="rId3610" tooltip="🔗 Ver Mapa" display="🔗 Ver Mapa" xr:uid="{00000000-0004-0000-0000-0000190E0000}"/>
    <hyperlink ref="L3631" r:id="rId3611" tooltip="🔗 Ver Mapa" display="🔗 Ver Mapa" xr:uid="{00000000-0004-0000-0000-00001A0E0000}"/>
    <hyperlink ref="L3632" r:id="rId3612" tooltip="🔗 Ver Mapa" display="🔗 Ver Mapa" xr:uid="{00000000-0004-0000-0000-00001B0E0000}"/>
    <hyperlink ref="L3633" r:id="rId3613" tooltip="🔗 Ver Mapa" display="🔗 Ver Mapa" xr:uid="{00000000-0004-0000-0000-00001C0E0000}"/>
    <hyperlink ref="L3634" r:id="rId3614" tooltip="🔗 Ver Mapa" display="🔗 Ver Mapa" xr:uid="{00000000-0004-0000-0000-00001D0E0000}"/>
    <hyperlink ref="L3635" r:id="rId3615" tooltip="🔗 Ver Mapa" display="🔗 Ver Mapa" xr:uid="{00000000-0004-0000-0000-00001E0E0000}"/>
    <hyperlink ref="L3636" r:id="rId3616" tooltip="🔗 Ver Mapa" display="🔗 Ver Mapa" xr:uid="{00000000-0004-0000-0000-00001F0E0000}"/>
    <hyperlink ref="L3637" r:id="rId3617" tooltip="🔗 Ver Mapa" display="🔗 Ver Mapa" xr:uid="{00000000-0004-0000-0000-0000200E0000}"/>
    <hyperlink ref="L3638" r:id="rId3618" tooltip="🔗 Ver Mapa" display="🔗 Ver Mapa" xr:uid="{00000000-0004-0000-0000-0000210E0000}"/>
    <hyperlink ref="L3639" r:id="rId3619" tooltip="🔗 Ver Mapa" display="🔗 Ver Mapa" xr:uid="{00000000-0004-0000-0000-0000220E0000}"/>
    <hyperlink ref="L3640" r:id="rId3620" tooltip="🔗 Ver Mapa" display="🔗 Ver Mapa" xr:uid="{00000000-0004-0000-0000-0000230E0000}"/>
    <hyperlink ref="L3641" r:id="rId3621" tooltip="🔗 Ver Mapa" display="🔗 Ver Mapa" xr:uid="{00000000-0004-0000-0000-0000240E0000}"/>
    <hyperlink ref="L3642" r:id="rId3622" tooltip="🔗 Ver Mapa" display="🔗 Ver Mapa" xr:uid="{00000000-0004-0000-0000-0000250E0000}"/>
    <hyperlink ref="L3643" r:id="rId3623" tooltip="🔗 Ver Mapa" display="🔗 Ver Mapa" xr:uid="{00000000-0004-0000-0000-0000260E0000}"/>
    <hyperlink ref="L3644" r:id="rId3624" tooltip="🔗 Ver Mapa" display="🔗 Ver Mapa" xr:uid="{00000000-0004-0000-0000-0000270E0000}"/>
    <hyperlink ref="L3645" r:id="rId3625" tooltip="🔗 Ver Mapa" display="🔗 Ver Mapa" xr:uid="{00000000-0004-0000-0000-0000280E0000}"/>
    <hyperlink ref="L3646" r:id="rId3626" tooltip="🔗 Ver Mapa" display="🔗 Ver Mapa" xr:uid="{00000000-0004-0000-0000-0000290E0000}"/>
    <hyperlink ref="L3647" r:id="rId3627" tooltip="🔗 Ver Mapa" display="🔗 Ver Mapa" xr:uid="{00000000-0004-0000-0000-00002A0E0000}"/>
    <hyperlink ref="L3648" r:id="rId3628" tooltip="🔗 Ver Mapa" display="🔗 Ver Mapa" xr:uid="{00000000-0004-0000-0000-00002B0E0000}"/>
    <hyperlink ref="L3649" r:id="rId3629" tooltip="🔗 Ver Mapa" display="🔗 Ver Mapa" xr:uid="{00000000-0004-0000-0000-00002C0E0000}"/>
    <hyperlink ref="L3650" r:id="rId3630" tooltip="🔗 Ver Mapa" display="🔗 Ver Mapa" xr:uid="{00000000-0004-0000-0000-00002D0E0000}"/>
    <hyperlink ref="L3651" r:id="rId3631" tooltip="🔗 Ver Mapa" display="🔗 Ver Mapa" xr:uid="{00000000-0004-0000-0000-00002E0E0000}"/>
    <hyperlink ref="L3652" r:id="rId3632" tooltip="🔗 Ver Mapa" display="🔗 Ver Mapa" xr:uid="{00000000-0004-0000-0000-00002F0E0000}"/>
    <hyperlink ref="L3653" r:id="rId3633" tooltip="🔗 Ver Mapa" display="🔗 Ver Mapa" xr:uid="{00000000-0004-0000-0000-0000300E0000}"/>
    <hyperlink ref="L3654" r:id="rId3634" tooltip="🔗 Ver Mapa" display="🔗 Ver Mapa" xr:uid="{00000000-0004-0000-0000-0000310E0000}"/>
    <hyperlink ref="L3655" r:id="rId3635" tooltip="🔗 Ver Mapa" display="🔗 Ver Mapa" xr:uid="{00000000-0004-0000-0000-0000320E0000}"/>
    <hyperlink ref="L3656" r:id="rId3636" tooltip="🔗 Ver Mapa" display="🔗 Ver Mapa" xr:uid="{00000000-0004-0000-0000-0000330E0000}"/>
    <hyperlink ref="L3657" r:id="rId3637" tooltip="🔗 Ver Mapa" display="🔗 Ver Mapa" xr:uid="{00000000-0004-0000-0000-0000340E0000}"/>
    <hyperlink ref="L3658" r:id="rId3638" tooltip="🔗 Ver Mapa" display="🔗 Ver Mapa" xr:uid="{00000000-0004-0000-0000-0000350E0000}"/>
    <hyperlink ref="L3659" r:id="rId3639" tooltip="🔗 Ver Mapa" display="🔗 Ver Mapa" xr:uid="{00000000-0004-0000-0000-0000360E0000}"/>
    <hyperlink ref="L3660" r:id="rId3640" tooltip="🔗 Ver Mapa" display="🔗 Ver Mapa" xr:uid="{00000000-0004-0000-0000-0000370E0000}"/>
    <hyperlink ref="L3661" r:id="rId3641" tooltip="🔗 Ver Mapa" display="🔗 Ver Mapa" xr:uid="{00000000-0004-0000-0000-0000380E0000}"/>
    <hyperlink ref="L3662" r:id="rId3642" tooltip="🔗 Ver Mapa" display="🔗 Ver Mapa" xr:uid="{00000000-0004-0000-0000-0000390E0000}"/>
    <hyperlink ref="L3663" r:id="rId3643" tooltip="🔗 Ver Mapa" display="🔗 Ver Mapa" xr:uid="{00000000-0004-0000-0000-00003A0E0000}"/>
    <hyperlink ref="L3664" r:id="rId3644" tooltip="🔗 Ver Mapa" display="🔗 Ver Mapa" xr:uid="{00000000-0004-0000-0000-00003B0E0000}"/>
    <hyperlink ref="L3665" r:id="rId3645" tooltip="🔗 Ver Mapa" display="🔗 Ver Mapa" xr:uid="{00000000-0004-0000-0000-00003C0E0000}"/>
    <hyperlink ref="L3666" r:id="rId3646" tooltip="🔗 Ver Mapa" display="🔗 Ver Mapa" xr:uid="{00000000-0004-0000-0000-00003D0E0000}"/>
    <hyperlink ref="L3667" r:id="rId3647" tooltip="🔗 Ver Mapa" display="🔗 Ver Mapa" xr:uid="{00000000-0004-0000-0000-00003E0E0000}"/>
    <hyperlink ref="L3668" r:id="rId3648" tooltip="🔗 Ver Mapa" display="🔗 Ver Mapa" xr:uid="{00000000-0004-0000-0000-00003F0E0000}"/>
    <hyperlink ref="L3669" r:id="rId3649" tooltip="🔗 Ver Mapa" display="🔗 Ver Mapa" xr:uid="{00000000-0004-0000-0000-0000400E0000}"/>
    <hyperlink ref="L3670" r:id="rId3650" tooltip="🔗 Ver Mapa" display="🔗 Ver Mapa" xr:uid="{00000000-0004-0000-0000-0000410E0000}"/>
    <hyperlink ref="L3671" r:id="rId3651" tooltip="🔗 Ver Mapa" display="🔗 Ver Mapa" xr:uid="{00000000-0004-0000-0000-0000420E0000}"/>
    <hyperlink ref="L3672" r:id="rId3652" tooltip="🔗 Ver Mapa" display="🔗 Ver Mapa" xr:uid="{00000000-0004-0000-0000-0000430E0000}"/>
    <hyperlink ref="L3673" r:id="rId3653" tooltip="🔗 Ver Mapa" display="🔗 Ver Mapa" xr:uid="{00000000-0004-0000-0000-0000440E0000}"/>
    <hyperlink ref="L3674" r:id="rId3654" tooltip="🔗 Ver Mapa" display="🔗 Ver Mapa" xr:uid="{00000000-0004-0000-0000-0000450E0000}"/>
    <hyperlink ref="L3675" r:id="rId3655" tooltip="🔗 Ver Mapa" display="🔗 Ver Mapa" xr:uid="{00000000-0004-0000-0000-0000460E0000}"/>
    <hyperlink ref="L3676" r:id="rId3656" tooltip="🔗 Ver Mapa" display="🔗 Ver Mapa" xr:uid="{00000000-0004-0000-0000-0000470E0000}"/>
    <hyperlink ref="L3677" r:id="rId3657" tooltip="🔗 Ver Mapa" display="🔗 Ver Mapa" xr:uid="{00000000-0004-0000-0000-0000480E0000}"/>
    <hyperlink ref="L3678" r:id="rId3658" tooltip="🔗 Ver Mapa" display="🔗 Ver Mapa" xr:uid="{00000000-0004-0000-0000-0000490E0000}"/>
    <hyperlink ref="L3679" r:id="rId3659" tooltip="🔗 Ver Mapa" display="🔗 Ver Mapa" xr:uid="{00000000-0004-0000-0000-00004A0E0000}"/>
    <hyperlink ref="L3680" r:id="rId3660" tooltip="🔗 Ver Mapa" display="🔗 Ver Mapa" xr:uid="{00000000-0004-0000-0000-00004B0E0000}"/>
    <hyperlink ref="L3681" r:id="rId3661" tooltip="🔗 Ver Mapa" display="🔗 Ver Mapa" xr:uid="{00000000-0004-0000-0000-00004C0E0000}"/>
    <hyperlink ref="L3682" r:id="rId3662" tooltip="🔗 Ver Mapa" display="🔗 Ver Mapa" xr:uid="{00000000-0004-0000-0000-00004D0E0000}"/>
    <hyperlink ref="L3683" r:id="rId3663" tooltip="🔗 Ver Mapa" display="🔗 Ver Mapa" xr:uid="{00000000-0004-0000-0000-00004E0E0000}"/>
    <hyperlink ref="L3684" r:id="rId3664" tooltip="🔗 Ver Mapa" display="🔗 Ver Mapa" xr:uid="{00000000-0004-0000-0000-00004F0E0000}"/>
    <hyperlink ref="L3685" r:id="rId3665" tooltip="🔗 Ver Mapa" display="🔗 Ver Mapa" xr:uid="{00000000-0004-0000-0000-0000500E0000}"/>
    <hyperlink ref="L3686" r:id="rId3666" tooltip="🔗 Ver Mapa" display="🔗 Ver Mapa" xr:uid="{00000000-0004-0000-0000-0000510E0000}"/>
    <hyperlink ref="L3687" r:id="rId3667" tooltip="🔗 Ver Mapa" display="🔗 Ver Mapa" xr:uid="{00000000-0004-0000-0000-0000520E0000}"/>
    <hyperlink ref="L3688" r:id="rId3668" tooltip="🔗 Ver Mapa" display="🔗 Ver Mapa" xr:uid="{00000000-0004-0000-0000-0000530E0000}"/>
    <hyperlink ref="L3689" r:id="rId3669" tooltip="🔗 Ver Mapa" display="🔗 Ver Mapa" xr:uid="{00000000-0004-0000-0000-0000540E0000}"/>
    <hyperlink ref="L3690" r:id="rId3670" tooltip="🔗 Ver Mapa" display="🔗 Ver Mapa" xr:uid="{00000000-0004-0000-0000-0000550E0000}"/>
    <hyperlink ref="L3691" r:id="rId3671" tooltip="🔗 Ver Mapa" display="🔗 Ver Mapa" xr:uid="{00000000-0004-0000-0000-0000560E0000}"/>
    <hyperlink ref="L3692" r:id="rId3672" tooltip="🔗 Ver Mapa" display="🔗 Ver Mapa" xr:uid="{00000000-0004-0000-0000-0000570E0000}"/>
    <hyperlink ref="L3693" r:id="rId3673" tooltip="🔗 Ver Mapa" display="🔗 Ver Mapa" xr:uid="{00000000-0004-0000-0000-0000580E0000}"/>
    <hyperlink ref="L3694" r:id="rId3674" tooltip="🔗 Ver Mapa" display="🔗 Ver Mapa" xr:uid="{00000000-0004-0000-0000-0000590E0000}"/>
    <hyperlink ref="L3695" r:id="rId3675" tooltip="🔗 Ver Mapa" display="🔗 Ver Mapa" xr:uid="{00000000-0004-0000-0000-00005A0E0000}"/>
    <hyperlink ref="L3696" r:id="rId3676" tooltip="🔗 Ver Mapa" display="🔗 Ver Mapa" xr:uid="{00000000-0004-0000-0000-00005B0E0000}"/>
    <hyperlink ref="L3697" r:id="rId3677" tooltip="🔗 Ver Mapa" display="🔗 Ver Mapa" xr:uid="{00000000-0004-0000-0000-00005C0E0000}"/>
    <hyperlink ref="L3698" r:id="rId3678" tooltip="🔗 Ver Mapa" display="🔗 Ver Mapa" xr:uid="{00000000-0004-0000-0000-00005D0E0000}"/>
    <hyperlink ref="L3699" r:id="rId3679" tooltip="🔗 Ver Mapa" display="🔗 Ver Mapa" xr:uid="{00000000-0004-0000-0000-00005E0E0000}"/>
    <hyperlink ref="L3700" r:id="rId3680" tooltip="🔗 Ver Mapa" display="🔗 Ver Mapa" xr:uid="{00000000-0004-0000-0000-00005F0E0000}"/>
    <hyperlink ref="L3701" r:id="rId3681" tooltip="🔗 Ver Mapa" display="🔗 Ver Mapa" xr:uid="{00000000-0004-0000-0000-0000600E0000}"/>
    <hyperlink ref="L3702" r:id="rId3682" tooltip="🔗 Ver Mapa" display="🔗 Ver Mapa" xr:uid="{00000000-0004-0000-0000-0000610E0000}"/>
    <hyperlink ref="L3703" r:id="rId3683" tooltip="🔗 Ver Mapa" display="🔗 Ver Mapa" xr:uid="{00000000-0004-0000-0000-0000620E0000}"/>
    <hyperlink ref="L3704" r:id="rId3684" tooltip="🔗 Ver Mapa" display="🔗 Ver Mapa" xr:uid="{00000000-0004-0000-0000-0000630E0000}"/>
    <hyperlink ref="L3705" r:id="rId3685" tooltip="🔗 Ver Mapa" display="🔗 Ver Mapa" xr:uid="{00000000-0004-0000-0000-0000640E0000}"/>
    <hyperlink ref="L3706" r:id="rId3686" tooltip="🔗 Ver Mapa" display="🔗 Ver Mapa" xr:uid="{00000000-0004-0000-0000-0000650E0000}"/>
    <hyperlink ref="L3707" r:id="rId3687" tooltip="🔗 Ver Mapa" display="🔗 Ver Mapa" xr:uid="{00000000-0004-0000-0000-0000660E0000}"/>
    <hyperlink ref="L3708" r:id="rId3688" tooltip="🔗 Ver Mapa" display="🔗 Ver Mapa" xr:uid="{00000000-0004-0000-0000-0000670E0000}"/>
    <hyperlink ref="L3709" r:id="rId3689" tooltip="🔗 Ver Mapa" display="🔗 Ver Mapa" xr:uid="{00000000-0004-0000-0000-0000680E0000}"/>
    <hyperlink ref="L3710" r:id="rId3690" tooltip="🔗 Ver Mapa" display="🔗 Ver Mapa" xr:uid="{00000000-0004-0000-0000-0000690E0000}"/>
    <hyperlink ref="L3711" r:id="rId3691" tooltip="🔗 Ver Mapa" display="🔗 Ver Mapa" xr:uid="{00000000-0004-0000-0000-00006A0E0000}"/>
    <hyperlink ref="L3712" r:id="rId3692" tooltip="🔗 Ver Mapa" display="🔗 Ver Mapa" xr:uid="{00000000-0004-0000-0000-00006B0E0000}"/>
    <hyperlink ref="L3713" r:id="rId3693" tooltip="🔗 Ver Mapa" display="🔗 Ver Mapa" xr:uid="{00000000-0004-0000-0000-00006C0E0000}"/>
    <hyperlink ref="L3714" r:id="rId3694" tooltip="🔗 Ver Mapa" display="🔗 Ver Mapa" xr:uid="{00000000-0004-0000-0000-00006D0E0000}"/>
    <hyperlink ref="L3715" r:id="rId3695" tooltip="🔗 Ver Mapa" display="🔗 Ver Mapa" xr:uid="{00000000-0004-0000-0000-00006E0E0000}"/>
    <hyperlink ref="L3716" r:id="rId3696" tooltip="🔗 Ver Mapa" display="🔗 Ver Mapa" xr:uid="{00000000-0004-0000-0000-00006F0E0000}"/>
    <hyperlink ref="L3717" r:id="rId3697" tooltip="🔗 Ver Mapa" display="🔗 Ver Mapa" xr:uid="{00000000-0004-0000-0000-0000700E0000}"/>
    <hyperlink ref="L3718" r:id="rId3698" tooltip="🔗 Ver Mapa" display="🔗 Ver Mapa" xr:uid="{00000000-0004-0000-0000-0000710E0000}"/>
    <hyperlink ref="L3719" r:id="rId3699" tooltip="🔗 Ver Mapa" display="🔗 Ver Mapa" xr:uid="{00000000-0004-0000-0000-0000720E0000}"/>
    <hyperlink ref="L3720" r:id="rId3700" tooltip="🔗 Ver Mapa" display="🔗 Ver Mapa" xr:uid="{00000000-0004-0000-0000-0000730E0000}"/>
    <hyperlink ref="L3721" r:id="rId3701" tooltip="🔗 Ver Mapa" display="🔗 Ver Mapa" xr:uid="{00000000-0004-0000-0000-0000740E0000}"/>
    <hyperlink ref="L3722" r:id="rId3702" tooltip="🔗 Ver Mapa" display="🔗 Ver Mapa" xr:uid="{00000000-0004-0000-0000-0000750E0000}"/>
    <hyperlink ref="L3723" r:id="rId3703" tooltip="🔗 Ver Mapa" display="🔗 Ver Mapa" xr:uid="{00000000-0004-0000-0000-0000760E0000}"/>
    <hyperlink ref="L3724" r:id="rId3704" tooltip="🔗 Ver Mapa" display="🔗 Ver Mapa" xr:uid="{00000000-0004-0000-0000-0000770E0000}"/>
    <hyperlink ref="L3725" r:id="rId3705" tooltip="🔗 Ver Mapa" display="🔗 Ver Mapa" xr:uid="{00000000-0004-0000-0000-0000780E0000}"/>
    <hyperlink ref="L3726" r:id="rId3706" tooltip="🔗 Ver Mapa" display="🔗 Ver Mapa" xr:uid="{00000000-0004-0000-0000-0000790E0000}"/>
    <hyperlink ref="L3727" r:id="rId3707" tooltip="🔗 Ver Mapa" display="🔗 Ver Mapa" xr:uid="{00000000-0004-0000-0000-00007A0E0000}"/>
    <hyperlink ref="L3728" r:id="rId3708" tooltip="🔗 Ver Mapa" display="🔗 Ver Mapa" xr:uid="{00000000-0004-0000-0000-00007B0E0000}"/>
    <hyperlink ref="L3729" r:id="rId3709" tooltip="🔗 Ver Mapa" display="🔗 Ver Mapa" xr:uid="{00000000-0004-0000-0000-00007C0E0000}"/>
    <hyperlink ref="L3730" r:id="rId3710" tooltip="🔗 Ver Mapa" display="🔗 Ver Mapa" xr:uid="{00000000-0004-0000-0000-00007D0E0000}"/>
    <hyperlink ref="L3731" r:id="rId3711" tooltip="🔗 Ver Mapa" display="🔗 Ver Mapa" xr:uid="{00000000-0004-0000-0000-00007E0E0000}"/>
    <hyperlink ref="L3732" r:id="rId3712" tooltip="🔗 Ver Mapa" display="🔗 Ver Mapa" xr:uid="{00000000-0004-0000-0000-00007F0E0000}"/>
    <hyperlink ref="L3733" r:id="rId3713" tooltip="🔗 Ver Mapa" display="🔗 Ver Mapa" xr:uid="{00000000-0004-0000-0000-0000800E0000}"/>
    <hyperlink ref="L3734" r:id="rId3714" tooltip="🔗 Ver Mapa" display="🔗 Ver Mapa" xr:uid="{00000000-0004-0000-0000-0000810E0000}"/>
    <hyperlink ref="L3735" r:id="rId3715" tooltip="🔗 Ver Mapa" display="🔗 Ver Mapa" xr:uid="{00000000-0004-0000-0000-0000820E0000}"/>
    <hyperlink ref="L3736" r:id="rId3716" tooltip="🔗 Ver Mapa" display="🔗 Ver Mapa" xr:uid="{00000000-0004-0000-0000-0000830E0000}"/>
    <hyperlink ref="L3737" r:id="rId3717" tooltip="🔗 Ver Mapa" display="🔗 Ver Mapa" xr:uid="{00000000-0004-0000-0000-0000840E0000}"/>
    <hyperlink ref="L3738" r:id="rId3718" tooltip="🔗 Ver Mapa" display="🔗 Ver Mapa" xr:uid="{00000000-0004-0000-0000-0000850E0000}"/>
    <hyperlink ref="L3739" r:id="rId3719" tooltip="🔗 Ver Mapa" display="🔗 Ver Mapa" xr:uid="{00000000-0004-0000-0000-0000860E0000}"/>
    <hyperlink ref="L3740" r:id="rId3720" tooltip="🔗 Ver Mapa" display="🔗 Ver Mapa" xr:uid="{00000000-0004-0000-0000-0000870E0000}"/>
    <hyperlink ref="L3741" r:id="rId3721" tooltip="🔗 Ver Mapa" display="🔗 Ver Mapa" xr:uid="{00000000-0004-0000-0000-0000880E0000}"/>
    <hyperlink ref="L3742" r:id="rId3722" tooltip="🔗 Ver Mapa" display="🔗 Ver Mapa" xr:uid="{00000000-0004-0000-0000-0000890E0000}"/>
    <hyperlink ref="L3743" r:id="rId3723" tooltip="🔗 Ver Mapa" display="🔗 Ver Mapa" xr:uid="{00000000-0004-0000-0000-00008A0E0000}"/>
    <hyperlink ref="L3744" r:id="rId3724" tooltip="🔗 Ver Mapa" display="🔗 Ver Mapa" xr:uid="{00000000-0004-0000-0000-00008B0E0000}"/>
    <hyperlink ref="L3745" r:id="rId3725" tooltip="🔗 Ver Mapa" display="🔗 Ver Mapa" xr:uid="{00000000-0004-0000-0000-00008C0E0000}"/>
    <hyperlink ref="L3746" r:id="rId3726" tooltip="🔗 Ver Mapa" display="🔗 Ver Mapa" xr:uid="{00000000-0004-0000-0000-00008D0E0000}"/>
    <hyperlink ref="L3747" r:id="rId3727" tooltip="🔗 Ver Mapa" display="🔗 Ver Mapa" xr:uid="{00000000-0004-0000-0000-00008E0E0000}"/>
    <hyperlink ref="L3748" r:id="rId3728" tooltip="🔗 Ver Mapa" display="🔗 Ver Mapa" xr:uid="{00000000-0004-0000-0000-00008F0E0000}"/>
    <hyperlink ref="L3749" r:id="rId3729" tooltip="🔗 Ver Mapa" display="🔗 Ver Mapa" xr:uid="{00000000-0004-0000-0000-0000900E0000}"/>
    <hyperlink ref="L3750" r:id="rId3730" tooltip="🔗 Ver Mapa" display="🔗 Ver Mapa" xr:uid="{00000000-0004-0000-0000-0000910E0000}"/>
    <hyperlink ref="L3751" r:id="rId3731" tooltip="🔗 Ver Mapa" display="🔗 Ver Mapa" xr:uid="{00000000-0004-0000-0000-0000920E0000}"/>
    <hyperlink ref="L3752" r:id="rId3732" tooltip="🔗 Ver Mapa" display="🔗 Ver Mapa" xr:uid="{00000000-0004-0000-0000-0000930E0000}"/>
    <hyperlink ref="L3753" r:id="rId3733" tooltip="🔗 Ver Mapa" display="🔗 Ver Mapa" xr:uid="{00000000-0004-0000-0000-0000940E0000}"/>
    <hyperlink ref="L3754" r:id="rId3734" tooltip="🔗 Ver Mapa" display="🔗 Ver Mapa" xr:uid="{00000000-0004-0000-0000-0000950E0000}"/>
    <hyperlink ref="L3755" r:id="rId3735" tooltip="🔗 Ver Mapa" display="🔗 Ver Mapa" xr:uid="{00000000-0004-0000-0000-0000960E0000}"/>
    <hyperlink ref="L3756" r:id="rId3736" tooltip="🔗 Ver Mapa" display="🔗 Ver Mapa" xr:uid="{00000000-0004-0000-0000-0000970E0000}"/>
    <hyperlink ref="L3757" r:id="rId3737" tooltip="🔗 Ver Mapa" display="🔗 Ver Mapa" xr:uid="{00000000-0004-0000-0000-0000980E0000}"/>
    <hyperlink ref="L3758" r:id="rId3738" tooltip="🔗 Ver Mapa" display="🔗 Ver Mapa" xr:uid="{00000000-0004-0000-0000-0000990E0000}"/>
    <hyperlink ref="L3759" r:id="rId3739" tooltip="🔗 Ver Mapa" display="🔗 Ver Mapa" xr:uid="{00000000-0004-0000-0000-00009A0E0000}"/>
    <hyperlink ref="L3760" r:id="rId3740" tooltip="🔗 Ver Mapa" display="🔗 Ver Mapa" xr:uid="{00000000-0004-0000-0000-00009B0E0000}"/>
    <hyperlink ref="L3761" r:id="rId3741" tooltip="🔗 Ver Mapa" display="🔗 Ver Mapa" xr:uid="{00000000-0004-0000-0000-00009C0E0000}"/>
    <hyperlink ref="L3762" r:id="rId3742" tooltip="🔗 Ver Mapa" display="🔗 Ver Mapa" xr:uid="{00000000-0004-0000-0000-00009D0E0000}"/>
    <hyperlink ref="L3763" r:id="rId3743" tooltip="🔗 Ver Mapa" display="🔗 Ver Mapa" xr:uid="{00000000-0004-0000-0000-00009E0E0000}"/>
    <hyperlink ref="L3764" r:id="rId3744" tooltip="🔗 Ver Mapa" display="🔗 Ver Mapa" xr:uid="{00000000-0004-0000-0000-00009F0E0000}"/>
    <hyperlink ref="L3765" r:id="rId3745" tooltip="🔗 Ver Mapa" display="🔗 Ver Mapa" xr:uid="{00000000-0004-0000-0000-0000A00E0000}"/>
    <hyperlink ref="L3766" r:id="rId3746" tooltip="🔗 Ver Mapa" display="🔗 Ver Mapa" xr:uid="{00000000-0004-0000-0000-0000A10E0000}"/>
    <hyperlink ref="L3767" r:id="rId3747" tooltip="🔗 Ver Mapa" display="🔗 Ver Mapa" xr:uid="{00000000-0004-0000-0000-0000A20E0000}"/>
    <hyperlink ref="L3768" r:id="rId3748" tooltip="🔗 Ver Mapa" display="🔗 Ver Mapa" xr:uid="{00000000-0004-0000-0000-0000A30E0000}"/>
    <hyperlink ref="L3769" r:id="rId3749" tooltip="🔗 Ver Mapa" display="🔗 Ver Mapa" xr:uid="{00000000-0004-0000-0000-0000A40E0000}"/>
    <hyperlink ref="L3770" r:id="rId3750" tooltip="🔗 Ver Mapa" display="🔗 Ver Mapa" xr:uid="{00000000-0004-0000-0000-0000A50E0000}"/>
    <hyperlink ref="L3771" r:id="rId3751" tooltip="🔗 Ver Mapa" display="🔗 Ver Mapa" xr:uid="{00000000-0004-0000-0000-0000A60E0000}"/>
    <hyperlink ref="L3772" r:id="rId3752" tooltip="🔗 Ver Mapa" display="🔗 Ver Mapa" xr:uid="{00000000-0004-0000-0000-0000A70E0000}"/>
    <hyperlink ref="L3773" r:id="rId3753" tooltip="🔗 Ver Mapa" display="🔗 Ver Mapa" xr:uid="{00000000-0004-0000-0000-0000A80E0000}"/>
    <hyperlink ref="L3774" r:id="rId3754" tooltip="🔗 Ver Mapa" display="🔗 Ver Mapa" xr:uid="{00000000-0004-0000-0000-0000A90E0000}"/>
    <hyperlink ref="L3775" r:id="rId3755" tooltip="🔗 Ver Mapa" display="🔗 Ver Mapa" xr:uid="{00000000-0004-0000-0000-0000AA0E0000}"/>
    <hyperlink ref="L3776" r:id="rId3756" tooltip="🔗 Ver Mapa" display="🔗 Ver Mapa" xr:uid="{00000000-0004-0000-0000-0000AB0E0000}"/>
    <hyperlink ref="L3777" r:id="rId3757" tooltip="🔗 Ver Mapa" display="🔗 Ver Mapa" xr:uid="{00000000-0004-0000-0000-0000AC0E0000}"/>
    <hyperlink ref="L3778" r:id="rId3758" tooltip="🔗 Ver Mapa" display="🔗 Ver Mapa" xr:uid="{00000000-0004-0000-0000-0000AD0E0000}"/>
    <hyperlink ref="L3779" r:id="rId3759" tooltip="🔗 Ver Mapa" display="🔗 Ver Mapa" xr:uid="{00000000-0004-0000-0000-0000AE0E0000}"/>
    <hyperlink ref="L3780" r:id="rId3760" tooltip="🔗 Ver Mapa" display="🔗 Ver Mapa" xr:uid="{00000000-0004-0000-0000-0000AF0E0000}"/>
    <hyperlink ref="L3781" r:id="rId3761" tooltip="🔗 Ver Mapa" display="🔗 Ver Mapa" xr:uid="{00000000-0004-0000-0000-0000B00E0000}"/>
    <hyperlink ref="L3782" r:id="rId3762" tooltip="🔗 Ver Mapa" display="🔗 Ver Mapa" xr:uid="{00000000-0004-0000-0000-0000B10E0000}"/>
    <hyperlink ref="L3783" r:id="rId3763" tooltip="🔗 Ver Mapa" display="🔗 Ver Mapa" xr:uid="{00000000-0004-0000-0000-0000B20E0000}"/>
    <hyperlink ref="L3784" r:id="rId3764" tooltip="🔗 Ver Mapa" display="🔗 Ver Mapa" xr:uid="{00000000-0004-0000-0000-0000B30E0000}"/>
    <hyperlink ref="L3785" r:id="rId3765" tooltip="🔗 Ver Mapa" display="🔗 Ver Mapa" xr:uid="{00000000-0004-0000-0000-0000B40E0000}"/>
    <hyperlink ref="L3786" r:id="rId3766" tooltip="🔗 Ver Mapa" display="🔗 Ver Mapa" xr:uid="{00000000-0004-0000-0000-0000B50E0000}"/>
    <hyperlink ref="L3787" r:id="rId3767" tooltip="🔗 Ver Mapa" display="🔗 Ver Mapa" xr:uid="{00000000-0004-0000-0000-0000B60E0000}"/>
    <hyperlink ref="L3788" r:id="rId3768" tooltip="🔗 Ver Mapa" display="🔗 Ver Mapa" xr:uid="{00000000-0004-0000-0000-0000B70E0000}"/>
    <hyperlink ref="L3789" r:id="rId3769" tooltip="🔗 Ver Mapa" display="🔗 Ver Mapa" xr:uid="{00000000-0004-0000-0000-0000B80E0000}"/>
    <hyperlink ref="L3790" r:id="rId3770" tooltip="🔗 Ver Mapa" display="🔗 Ver Mapa" xr:uid="{00000000-0004-0000-0000-0000B90E0000}"/>
    <hyperlink ref="L3791" r:id="rId3771" tooltip="🔗 Ver Mapa" display="🔗 Ver Mapa" xr:uid="{00000000-0004-0000-0000-0000BA0E0000}"/>
    <hyperlink ref="L3792" r:id="rId3772" tooltip="🔗 Ver Mapa" display="🔗 Ver Mapa" xr:uid="{00000000-0004-0000-0000-0000BB0E0000}"/>
    <hyperlink ref="L3793" r:id="rId3773" tooltip="🔗 Ver Mapa" display="🔗 Ver Mapa" xr:uid="{00000000-0004-0000-0000-0000BC0E0000}"/>
    <hyperlink ref="L3794" r:id="rId3774" tooltip="🔗 Ver Mapa" display="🔗 Ver Mapa" xr:uid="{00000000-0004-0000-0000-0000BD0E0000}"/>
    <hyperlink ref="L3795" r:id="rId3775" tooltip="🔗 Ver Mapa" display="🔗 Ver Mapa" xr:uid="{00000000-0004-0000-0000-0000BE0E0000}"/>
    <hyperlink ref="L3796" r:id="rId3776" tooltip="🔗 Ver Mapa" display="🔗 Ver Mapa" xr:uid="{00000000-0004-0000-0000-0000BF0E0000}"/>
    <hyperlink ref="L3797" r:id="rId3777" tooltip="🔗 Ver Mapa" display="🔗 Ver Mapa" xr:uid="{00000000-0004-0000-0000-0000C00E0000}"/>
    <hyperlink ref="L3798" r:id="rId3778" tooltip="🔗 Ver Mapa" display="🔗 Ver Mapa" xr:uid="{00000000-0004-0000-0000-0000C10E0000}"/>
    <hyperlink ref="L3799" r:id="rId3779" tooltip="🔗 Ver Mapa" display="🔗 Ver Mapa" xr:uid="{00000000-0004-0000-0000-0000C20E0000}"/>
    <hyperlink ref="L3800" r:id="rId3780" tooltip="🔗 Ver Mapa" display="🔗 Ver Mapa" xr:uid="{00000000-0004-0000-0000-0000C30E0000}"/>
    <hyperlink ref="L3801" r:id="rId3781" tooltip="🔗 Ver Mapa" display="🔗 Ver Mapa" xr:uid="{00000000-0004-0000-0000-0000C40E0000}"/>
    <hyperlink ref="L3802" r:id="rId3782" tooltip="🔗 Ver Mapa" display="🔗 Ver Mapa" xr:uid="{00000000-0004-0000-0000-0000C50E0000}"/>
    <hyperlink ref="L3803" r:id="rId3783" tooltip="🔗 Ver Mapa" display="🔗 Ver Mapa" xr:uid="{00000000-0004-0000-0000-0000C60E0000}"/>
    <hyperlink ref="L3804" r:id="rId3784" tooltip="🔗 Ver Mapa" display="🔗 Ver Mapa" xr:uid="{00000000-0004-0000-0000-0000C70E0000}"/>
    <hyperlink ref="L3805" r:id="rId3785" tooltip="🔗 Ver Mapa" display="🔗 Ver Mapa" xr:uid="{00000000-0004-0000-0000-0000C80E0000}"/>
    <hyperlink ref="L3806" r:id="rId3786" tooltip="🔗 Ver Mapa" display="🔗 Ver Mapa" xr:uid="{00000000-0004-0000-0000-0000C90E0000}"/>
    <hyperlink ref="L3807" r:id="rId3787" tooltip="🔗 Ver Mapa" display="🔗 Ver Mapa" xr:uid="{00000000-0004-0000-0000-0000CA0E0000}"/>
    <hyperlink ref="L3808" r:id="rId3788" tooltip="🔗 Ver Mapa" display="🔗 Ver Mapa" xr:uid="{00000000-0004-0000-0000-0000CB0E0000}"/>
    <hyperlink ref="L3809" r:id="rId3789" tooltip="🔗 Ver Mapa" display="🔗 Ver Mapa" xr:uid="{00000000-0004-0000-0000-0000CC0E0000}"/>
    <hyperlink ref="L3810" r:id="rId3790" tooltip="🔗 Ver Mapa" display="🔗 Ver Mapa" xr:uid="{00000000-0004-0000-0000-0000CD0E0000}"/>
    <hyperlink ref="L3811" r:id="rId3791" tooltip="🔗 Ver Mapa" display="🔗 Ver Mapa" xr:uid="{00000000-0004-0000-0000-0000CE0E0000}"/>
    <hyperlink ref="L3812" r:id="rId3792" tooltip="🔗 Ver Mapa" display="🔗 Ver Mapa" xr:uid="{00000000-0004-0000-0000-0000CF0E0000}"/>
    <hyperlink ref="L3813" r:id="rId3793" tooltip="🔗 Ver Mapa" display="🔗 Ver Mapa" xr:uid="{00000000-0004-0000-0000-0000D00E0000}"/>
    <hyperlink ref="L3814" r:id="rId3794" tooltip="🔗 Ver Mapa" display="🔗 Ver Mapa" xr:uid="{00000000-0004-0000-0000-0000D10E0000}"/>
    <hyperlink ref="L3815" r:id="rId3795" tooltip="🔗 Ver Mapa" display="🔗 Ver Mapa" xr:uid="{00000000-0004-0000-0000-0000D20E0000}"/>
    <hyperlink ref="L3816" r:id="rId3796" tooltip="🔗 Ver Mapa" display="🔗 Ver Mapa" xr:uid="{00000000-0004-0000-0000-0000D30E0000}"/>
    <hyperlink ref="L3817" r:id="rId3797" tooltip="🔗 Ver Mapa" display="🔗 Ver Mapa" xr:uid="{00000000-0004-0000-0000-0000D40E0000}"/>
    <hyperlink ref="L3818" r:id="rId3798" tooltip="🔗 Ver Mapa" display="🔗 Ver Mapa" xr:uid="{00000000-0004-0000-0000-0000D50E0000}"/>
    <hyperlink ref="L3819" r:id="rId3799" tooltip="🔗 Ver Mapa" display="🔗 Ver Mapa" xr:uid="{00000000-0004-0000-0000-0000D60E0000}"/>
    <hyperlink ref="L3820" r:id="rId3800" tooltip="🔗 Ver Mapa" display="🔗 Ver Mapa" xr:uid="{00000000-0004-0000-0000-0000D70E0000}"/>
    <hyperlink ref="L3821" r:id="rId3801" tooltip="🔗 Ver Mapa" display="🔗 Ver Mapa" xr:uid="{00000000-0004-0000-0000-0000D80E0000}"/>
    <hyperlink ref="L3822" r:id="rId3802" tooltip="🔗 Ver Mapa" display="🔗 Ver Mapa" xr:uid="{00000000-0004-0000-0000-0000D90E0000}"/>
    <hyperlink ref="L3823" r:id="rId3803" tooltip="🔗 Ver Mapa" display="🔗 Ver Mapa" xr:uid="{00000000-0004-0000-0000-0000DA0E0000}"/>
    <hyperlink ref="L3824" r:id="rId3804" tooltip="🔗 Ver Mapa" display="🔗 Ver Mapa" xr:uid="{00000000-0004-0000-0000-0000DB0E0000}"/>
    <hyperlink ref="L3825" r:id="rId3805" tooltip="🔗 Ver Mapa" display="🔗 Ver Mapa" xr:uid="{00000000-0004-0000-0000-0000DC0E0000}"/>
    <hyperlink ref="L3826" r:id="rId3806" tooltip="🔗 Ver Mapa" display="🔗 Ver Mapa" xr:uid="{00000000-0004-0000-0000-0000DD0E0000}"/>
    <hyperlink ref="L3827" r:id="rId3807" tooltip="🔗 Ver Mapa" display="🔗 Ver Mapa" xr:uid="{00000000-0004-0000-0000-0000DE0E0000}"/>
    <hyperlink ref="L3828" r:id="rId3808" tooltip="🔗 Ver Mapa" display="🔗 Ver Mapa" xr:uid="{00000000-0004-0000-0000-0000DF0E0000}"/>
    <hyperlink ref="L3829" r:id="rId3809" tooltip="🔗 Ver Mapa" display="🔗 Ver Mapa" xr:uid="{00000000-0004-0000-0000-0000E00E0000}"/>
    <hyperlink ref="L3830" r:id="rId3810" tooltip="🔗 Ver Mapa" display="🔗 Ver Mapa" xr:uid="{00000000-0004-0000-0000-0000E10E0000}"/>
    <hyperlink ref="L3831" r:id="rId3811" tooltip="🔗 Ver Mapa" display="🔗 Ver Mapa" xr:uid="{00000000-0004-0000-0000-0000E20E0000}"/>
    <hyperlink ref="L3832" r:id="rId3812" tooltip="🔗 Ver Mapa" display="🔗 Ver Mapa" xr:uid="{00000000-0004-0000-0000-0000E30E0000}"/>
    <hyperlink ref="L3833" r:id="rId3813" tooltip="🔗 Ver Mapa" display="🔗 Ver Mapa" xr:uid="{00000000-0004-0000-0000-0000E40E0000}"/>
    <hyperlink ref="L3834" r:id="rId3814" tooltip="🔗 Ver Mapa" display="🔗 Ver Mapa" xr:uid="{00000000-0004-0000-0000-0000E50E0000}"/>
    <hyperlink ref="L3835" r:id="rId3815" tooltip="🔗 Ver Mapa" display="🔗 Ver Mapa" xr:uid="{00000000-0004-0000-0000-0000E60E0000}"/>
    <hyperlink ref="L3836" r:id="rId3816" tooltip="🔗 Ver Mapa" display="🔗 Ver Mapa" xr:uid="{00000000-0004-0000-0000-0000E70E0000}"/>
    <hyperlink ref="L3837" r:id="rId3817" tooltip="🔗 Ver Mapa" display="🔗 Ver Mapa" xr:uid="{00000000-0004-0000-0000-0000E80E0000}"/>
    <hyperlink ref="L3838" r:id="rId3818" tooltip="🔗 Ver Mapa" display="🔗 Ver Mapa" xr:uid="{00000000-0004-0000-0000-0000E90E0000}"/>
    <hyperlink ref="L3839" r:id="rId3819" tooltip="🔗 Ver Mapa" display="🔗 Ver Mapa" xr:uid="{00000000-0004-0000-0000-0000EA0E0000}"/>
    <hyperlink ref="L3840" r:id="rId3820" tooltip="🔗 Ver Mapa" display="🔗 Ver Mapa" xr:uid="{00000000-0004-0000-0000-0000EB0E0000}"/>
    <hyperlink ref="L3841" r:id="rId3821" tooltip="🔗 Ver Mapa" display="🔗 Ver Mapa" xr:uid="{00000000-0004-0000-0000-0000EC0E0000}"/>
    <hyperlink ref="L3842" r:id="rId3822" tooltip="🔗 Ver Mapa" display="🔗 Ver Mapa" xr:uid="{00000000-0004-0000-0000-0000ED0E0000}"/>
    <hyperlink ref="L3843" r:id="rId3823" tooltip="🔗 Ver Mapa" display="🔗 Ver Mapa" xr:uid="{00000000-0004-0000-0000-0000EE0E0000}"/>
    <hyperlink ref="L3844" r:id="rId3824" tooltip="🔗 Ver Mapa" display="🔗 Ver Mapa" xr:uid="{00000000-0004-0000-0000-0000EF0E0000}"/>
    <hyperlink ref="L3845" r:id="rId3825" tooltip="🔗 Ver Mapa" display="🔗 Ver Mapa" xr:uid="{00000000-0004-0000-0000-0000F00E0000}"/>
    <hyperlink ref="L3846" r:id="rId3826" tooltip="🔗 Ver Mapa" display="🔗 Ver Mapa" xr:uid="{00000000-0004-0000-0000-0000F10E0000}"/>
    <hyperlink ref="L3847" r:id="rId3827" tooltip="🔗 Ver Mapa" display="🔗 Ver Mapa" xr:uid="{00000000-0004-0000-0000-0000F20E0000}"/>
    <hyperlink ref="L3848" r:id="rId3828" tooltip="🔗 Ver Mapa" display="🔗 Ver Mapa" xr:uid="{00000000-0004-0000-0000-0000F30E0000}"/>
    <hyperlink ref="L3849" r:id="rId3829" tooltip="🔗 Ver Mapa" display="🔗 Ver Mapa" xr:uid="{00000000-0004-0000-0000-0000F40E0000}"/>
    <hyperlink ref="L3850" r:id="rId3830" tooltip="🔗 Ver Mapa" display="🔗 Ver Mapa" xr:uid="{00000000-0004-0000-0000-0000F50E0000}"/>
    <hyperlink ref="L3851" r:id="rId3831" tooltip="🔗 Ver Mapa" display="🔗 Ver Mapa" xr:uid="{00000000-0004-0000-0000-0000F60E0000}"/>
    <hyperlink ref="L3852" r:id="rId3832" tooltip="🔗 Ver Mapa" display="🔗 Ver Mapa" xr:uid="{00000000-0004-0000-0000-0000F70E0000}"/>
    <hyperlink ref="L3853" r:id="rId3833" tooltip="🔗 Ver Mapa" display="🔗 Ver Mapa" xr:uid="{00000000-0004-0000-0000-0000F80E0000}"/>
    <hyperlink ref="L3854" r:id="rId3834" tooltip="🔗 Ver Mapa" display="🔗 Ver Mapa" xr:uid="{00000000-0004-0000-0000-0000F90E0000}"/>
    <hyperlink ref="L3855" r:id="rId3835" tooltip="🔗 Ver Mapa" display="🔗 Ver Mapa" xr:uid="{00000000-0004-0000-0000-0000FA0E0000}"/>
    <hyperlink ref="L3856" r:id="rId3836" tooltip="🔗 Ver Mapa" display="🔗 Ver Mapa" xr:uid="{00000000-0004-0000-0000-0000FB0E0000}"/>
    <hyperlink ref="L3857" r:id="rId3837" tooltip="🔗 Ver Mapa" display="🔗 Ver Mapa" xr:uid="{00000000-0004-0000-0000-0000FC0E0000}"/>
    <hyperlink ref="L3858" r:id="rId3838" tooltip="🔗 Ver Mapa" display="🔗 Ver Mapa" xr:uid="{00000000-0004-0000-0000-0000FD0E0000}"/>
    <hyperlink ref="L3859" r:id="rId3839" tooltip="🔗 Ver Mapa" display="🔗 Ver Mapa" xr:uid="{00000000-0004-0000-0000-0000FE0E0000}"/>
    <hyperlink ref="L3860" r:id="rId3840" tooltip="🔗 Ver Mapa" display="🔗 Ver Mapa" xr:uid="{00000000-0004-0000-0000-0000FF0E0000}"/>
    <hyperlink ref="L3861" r:id="rId3841" tooltip="🔗 Ver Mapa" display="🔗 Ver Mapa" xr:uid="{00000000-0004-0000-0000-0000000F0000}"/>
    <hyperlink ref="L3862" r:id="rId3842" tooltip="🔗 Ver Mapa" display="🔗 Ver Mapa" xr:uid="{00000000-0004-0000-0000-0000010F0000}"/>
    <hyperlink ref="L3863" r:id="rId3843" tooltip="🔗 Ver Mapa" display="🔗 Ver Mapa" xr:uid="{00000000-0004-0000-0000-0000020F0000}"/>
    <hyperlink ref="L3864" r:id="rId3844" tooltip="🔗 Ver Mapa" display="🔗 Ver Mapa" xr:uid="{00000000-0004-0000-0000-0000030F0000}"/>
    <hyperlink ref="L3865" r:id="rId3845" tooltip="🔗 Ver Mapa" display="🔗 Ver Mapa" xr:uid="{00000000-0004-0000-0000-0000040F0000}"/>
    <hyperlink ref="L3866" r:id="rId3846" tooltip="🔗 Ver Mapa" display="🔗 Ver Mapa" xr:uid="{00000000-0004-0000-0000-0000050F0000}"/>
    <hyperlink ref="L3867" r:id="rId3847" tooltip="🔗 Ver Mapa" display="🔗 Ver Mapa" xr:uid="{00000000-0004-0000-0000-0000060F0000}"/>
    <hyperlink ref="L3868" r:id="rId3848" tooltip="🔗 Ver Mapa" display="🔗 Ver Mapa" xr:uid="{00000000-0004-0000-0000-0000070F0000}"/>
    <hyperlink ref="L3869" r:id="rId3849" tooltip="🔗 Ver Mapa" display="🔗 Ver Mapa" xr:uid="{00000000-0004-0000-0000-0000080F0000}"/>
    <hyperlink ref="L3870" r:id="rId3850" tooltip="🔗 Ver Mapa" display="🔗 Ver Mapa" xr:uid="{00000000-0004-0000-0000-0000090F0000}"/>
    <hyperlink ref="L3871" r:id="rId3851" tooltip="🔗 Ver Mapa" display="🔗 Ver Mapa" xr:uid="{00000000-0004-0000-0000-00000A0F0000}"/>
    <hyperlink ref="L3872" r:id="rId3852" tooltip="🔗 Ver Mapa" display="🔗 Ver Mapa" xr:uid="{00000000-0004-0000-0000-00000B0F0000}"/>
    <hyperlink ref="L3873" r:id="rId3853" tooltip="🔗 Ver Mapa" display="🔗 Ver Mapa" xr:uid="{00000000-0004-0000-0000-00000C0F0000}"/>
    <hyperlink ref="L3874" r:id="rId3854" tooltip="🔗 Ver Mapa" display="🔗 Ver Mapa" xr:uid="{00000000-0004-0000-0000-00000D0F0000}"/>
    <hyperlink ref="L3875" r:id="rId3855" tooltip="🔗 Ver Mapa" display="🔗 Ver Mapa" xr:uid="{00000000-0004-0000-0000-00000E0F0000}"/>
    <hyperlink ref="L3876" r:id="rId3856" tooltip="🔗 Ver Mapa" display="🔗 Ver Mapa" xr:uid="{00000000-0004-0000-0000-00000F0F0000}"/>
    <hyperlink ref="L3877" r:id="rId3857" tooltip="🔗 Ver Mapa" display="🔗 Ver Mapa" xr:uid="{00000000-0004-0000-0000-0000100F0000}"/>
    <hyperlink ref="L3878" r:id="rId3858" tooltip="🔗 Ver Mapa" display="🔗 Ver Mapa" xr:uid="{00000000-0004-0000-0000-0000110F0000}"/>
    <hyperlink ref="L3879" r:id="rId3859" tooltip="🔗 Ver Mapa" display="🔗 Ver Mapa" xr:uid="{00000000-0004-0000-0000-0000120F0000}"/>
    <hyperlink ref="L3880" r:id="rId3860" tooltip="🔗 Ver Mapa" display="🔗 Ver Mapa" xr:uid="{00000000-0004-0000-0000-0000130F0000}"/>
    <hyperlink ref="L3881" r:id="rId3861" tooltip="🔗 Ver Mapa" display="🔗 Ver Mapa" xr:uid="{00000000-0004-0000-0000-0000140F0000}"/>
    <hyperlink ref="L3882" r:id="rId3862" tooltip="🔗 Ver Mapa" display="🔗 Ver Mapa" xr:uid="{00000000-0004-0000-0000-0000150F0000}"/>
    <hyperlink ref="L3883" r:id="rId3863" tooltip="🔗 Ver Mapa" display="🔗 Ver Mapa" xr:uid="{00000000-0004-0000-0000-0000160F0000}"/>
    <hyperlink ref="L3884" r:id="rId3864" tooltip="🔗 Ver Mapa" display="🔗 Ver Mapa" xr:uid="{00000000-0004-0000-0000-0000170F0000}"/>
    <hyperlink ref="L3885" r:id="rId3865" tooltip="🔗 Ver Mapa" display="🔗 Ver Mapa" xr:uid="{00000000-0004-0000-0000-0000180F0000}"/>
    <hyperlink ref="L3886" r:id="rId3866" tooltip="🔗 Ver Mapa" display="🔗 Ver Mapa" xr:uid="{00000000-0004-0000-0000-0000190F0000}"/>
    <hyperlink ref="L3887" r:id="rId3867" tooltip="🔗 Ver Mapa" display="🔗 Ver Mapa" xr:uid="{00000000-0004-0000-0000-00001A0F0000}"/>
    <hyperlink ref="L3888" r:id="rId3868" tooltip="🔗 Ver Mapa" display="🔗 Ver Mapa" xr:uid="{00000000-0004-0000-0000-00001B0F0000}"/>
    <hyperlink ref="L3889" r:id="rId3869" tooltip="🔗 Ver Mapa" display="🔗 Ver Mapa" xr:uid="{00000000-0004-0000-0000-00001C0F0000}"/>
    <hyperlink ref="L3890" r:id="rId3870" tooltip="🔗 Ver Mapa" display="🔗 Ver Mapa" xr:uid="{00000000-0004-0000-0000-00001D0F0000}"/>
    <hyperlink ref="L3891" r:id="rId3871" tooltip="🔗 Ver Mapa" display="🔗 Ver Mapa" xr:uid="{00000000-0004-0000-0000-00001E0F0000}"/>
    <hyperlink ref="L3892" r:id="rId3872" tooltip="🔗 Ver Mapa" display="🔗 Ver Mapa" xr:uid="{00000000-0004-0000-0000-00001F0F0000}"/>
    <hyperlink ref="L3893" r:id="rId3873" tooltip="🔗 Ver Mapa" display="🔗 Ver Mapa" xr:uid="{00000000-0004-0000-0000-0000200F0000}"/>
    <hyperlink ref="L3894" r:id="rId3874" tooltip="🔗 Ver Mapa" display="🔗 Ver Mapa" xr:uid="{00000000-0004-0000-0000-0000210F0000}"/>
    <hyperlink ref="L3895" r:id="rId3875" tooltip="🔗 Ver Mapa" display="🔗 Ver Mapa" xr:uid="{00000000-0004-0000-0000-0000220F0000}"/>
    <hyperlink ref="L3896" r:id="rId3876" tooltip="🔗 Ver Mapa" display="🔗 Ver Mapa" xr:uid="{00000000-0004-0000-0000-0000230F0000}"/>
    <hyperlink ref="L3897" r:id="rId3877" tooltip="🔗 Ver Mapa" display="🔗 Ver Mapa" xr:uid="{00000000-0004-0000-0000-0000240F0000}"/>
    <hyperlink ref="L3898" r:id="rId3878" tooltip="🔗 Ver Mapa" display="🔗 Ver Mapa" xr:uid="{00000000-0004-0000-0000-0000250F0000}"/>
    <hyperlink ref="L3899" r:id="rId3879" tooltip="🔗 Ver Mapa" display="🔗 Ver Mapa" xr:uid="{00000000-0004-0000-0000-0000260F0000}"/>
    <hyperlink ref="L3900" r:id="rId3880" tooltip="🔗 Ver Mapa" display="🔗 Ver Mapa" xr:uid="{00000000-0004-0000-0000-0000270F0000}"/>
    <hyperlink ref="L3901" r:id="rId3881" tooltip="🔗 Ver Mapa" display="🔗 Ver Mapa" xr:uid="{00000000-0004-0000-0000-0000280F0000}"/>
    <hyperlink ref="L3902" r:id="rId3882" tooltip="🔗 Ver Mapa" display="🔗 Ver Mapa" xr:uid="{00000000-0004-0000-0000-0000290F0000}"/>
    <hyperlink ref="L3903" r:id="rId3883" tooltip="🔗 Ver Mapa" display="🔗 Ver Mapa" xr:uid="{00000000-0004-0000-0000-00002A0F0000}"/>
    <hyperlink ref="L3904" r:id="rId3884" tooltip="🔗 Ver Mapa" display="🔗 Ver Mapa" xr:uid="{00000000-0004-0000-0000-00002B0F0000}"/>
    <hyperlink ref="L3905" r:id="rId3885" tooltip="🔗 Ver Mapa" display="🔗 Ver Mapa" xr:uid="{00000000-0004-0000-0000-00002C0F0000}"/>
    <hyperlink ref="L3906" r:id="rId3886" tooltip="🔗 Ver Mapa" display="🔗 Ver Mapa" xr:uid="{00000000-0004-0000-0000-00002D0F0000}"/>
    <hyperlink ref="L3907" r:id="rId3887" tooltip="🔗 Ver Mapa" display="🔗 Ver Mapa" xr:uid="{00000000-0004-0000-0000-00002E0F0000}"/>
    <hyperlink ref="L3908" r:id="rId3888" tooltip="🔗 Ver Mapa" display="🔗 Ver Mapa" xr:uid="{00000000-0004-0000-0000-00002F0F0000}"/>
    <hyperlink ref="L3909" r:id="rId3889" tooltip="🔗 Ver Mapa" display="🔗 Ver Mapa" xr:uid="{00000000-0004-0000-0000-0000300F0000}"/>
    <hyperlink ref="L3910" r:id="rId3890" tooltip="🔗 Ver Mapa" display="🔗 Ver Mapa" xr:uid="{00000000-0004-0000-0000-0000310F0000}"/>
    <hyperlink ref="L3911" r:id="rId3891" tooltip="🔗 Ver Mapa" display="🔗 Ver Mapa" xr:uid="{00000000-0004-0000-0000-0000320F0000}"/>
    <hyperlink ref="L3912" r:id="rId3892" tooltip="🔗 Ver Mapa" display="🔗 Ver Mapa" xr:uid="{00000000-0004-0000-0000-0000330F0000}"/>
    <hyperlink ref="L3913" r:id="rId3893" tooltip="🔗 Ver Mapa" display="🔗 Ver Mapa" xr:uid="{00000000-0004-0000-0000-0000340F0000}"/>
    <hyperlink ref="L3914" r:id="rId3894" tooltip="🔗 Ver Mapa" display="🔗 Ver Mapa" xr:uid="{00000000-0004-0000-0000-0000350F0000}"/>
    <hyperlink ref="L3915" r:id="rId3895" tooltip="🔗 Ver Mapa" display="🔗 Ver Mapa" xr:uid="{00000000-0004-0000-0000-0000360F0000}"/>
    <hyperlink ref="L3916" r:id="rId3896" tooltip="🔗 Ver Mapa" display="🔗 Ver Mapa" xr:uid="{00000000-0004-0000-0000-0000370F0000}"/>
    <hyperlink ref="L3917" r:id="rId3897" tooltip="🔗 Ver Mapa" display="🔗 Ver Mapa" xr:uid="{00000000-0004-0000-0000-0000380F0000}"/>
    <hyperlink ref="L3918" r:id="rId3898" tooltip="🔗 Ver Mapa" display="🔗 Ver Mapa" xr:uid="{00000000-0004-0000-0000-0000390F0000}"/>
    <hyperlink ref="L3919" r:id="rId3899" tooltip="🔗 Ver Mapa" display="🔗 Ver Mapa" xr:uid="{00000000-0004-0000-0000-00003A0F0000}"/>
    <hyperlink ref="L3920" r:id="rId3900" tooltip="🔗 Ver Mapa" display="🔗 Ver Mapa" xr:uid="{00000000-0004-0000-0000-00003B0F0000}"/>
    <hyperlink ref="L3921" r:id="rId3901" tooltip="🔗 Ver Mapa" display="🔗 Ver Mapa" xr:uid="{00000000-0004-0000-0000-00003C0F0000}"/>
    <hyperlink ref="L3922" r:id="rId3902" tooltip="🔗 Ver Mapa" display="🔗 Ver Mapa" xr:uid="{00000000-0004-0000-0000-00003D0F0000}"/>
    <hyperlink ref="L3923" r:id="rId3903" tooltip="🔗 Ver Mapa" display="🔗 Ver Mapa" xr:uid="{00000000-0004-0000-0000-00003E0F0000}"/>
    <hyperlink ref="L3924" r:id="rId3904" tooltip="🔗 Ver Mapa" display="🔗 Ver Mapa" xr:uid="{00000000-0004-0000-0000-00003F0F0000}"/>
    <hyperlink ref="L3925" r:id="rId3905" tooltip="🔗 Ver Mapa" display="🔗 Ver Mapa" xr:uid="{00000000-0004-0000-0000-0000400F0000}"/>
    <hyperlink ref="L3926" r:id="rId3906" tooltip="🔗 Ver Mapa" display="🔗 Ver Mapa" xr:uid="{00000000-0004-0000-0000-0000410F0000}"/>
    <hyperlink ref="L3927" r:id="rId3907" tooltip="🔗 Ver Mapa" display="🔗 Ver Mapa" xr:uid="{00000000-0004-0000-0000-0000420F0000}"/>
    <hyperlink ref="L3928" r:id="rId3908" tooltip="🔗 Ver Mapa" display="🔗 Ver Mapa" xr:uid="{00000000-0004-0000-0000-0000430F0000}"/>
    <hyperlink ref="L3929" r:id="rId3909" tooltip="🔗 Ver Mapa" display="🔗 Ver Mapa" xr:uid="{00000000-0004-0000-0000-0000440F0000}"/>
    <hyperlink ref="L3930" r:id="rId3910" tooltip="🔗 Ver Mapa" display="🔗 Ver Mapa" xr:uid="{00000000-0004-0000-0000-0000450F0000}"/>
    <hyperlink ref="L3931" r:id="rId3911" tooltip="🔗 Ver Mapa" display="🔗 Ver Mapa" xr:uid="{00000000-0004-0000-0000-0000460F0000}"/>
    <hyperlink ref="L3932" r:id="rId3912" tooltip="🔗 Ver Mapa" display="🔗 Ver Mapa" xr:uid="{00000000-0004-0000-0000-0000470F0000}"/>
    <hyperlink ref="L3933" r:id="rId3913" tooltip="🔗 Ver Mapa" display="🔗 Ver Mapa" xr:uid="{00000000-0004-0000-0000-0000480F0000}"/>
    <hyperlink ref="L3934" r:id="rId3914" tooltip="🔗 Ver Mapa" display="🔗 Ver Mapa" xr:uid="{00000000-0004-0000-0000-0000490F0000}"/>
    <hyperlink ref="L3935" r:id="rId3915" tooltip="🔗 Ver Mapa" display="🔗 Ver Mapa" xr:uid="{00000000-0004-0000-0000-00004A0F0000}"/>
    <hyperlink ref="L3936" r:id="rId3916" tooltip="🔗 Ver Mapa" display="🔗 Ver Mapa" xr:uid="{00000000-0004-0000-0000-00004B0F0000}"/>
    <hyperlink ref="L3937" r:id="rId3917" tooltip="🔗 Ver Mapa" display="🔗 Ver Mapa" xr:uid="{00000000-0004-0000-0000-00004C0F0000}"/>
    <hyperlink ref="L3938" r:id="rId3918" tooltip="🔗 Ver Mapa" display="🔗 Ver Mapa" xr:uid="{00000000-0004-0000-0000-00004D0F0000}"/>
    <hyperlink ref="L3939" r:id="rId3919" tooltip="🔗 Ver Mapa" display="🔗 Ver Mapa" xr:uid="{00000000-0004-0000-0000-00004E0F0000}"/>
    <hyperlink ref="L3940" r:id="rId3920" tooltip="🔗 Ver Mapa" display="🔗 Ver Mapa" xr:uid="{00000000-0004-0000-0000-00004F0F0000}"/>
    <hyperlink ref="L3941" r:id="rId3921" tooltip="🔗 Ver Mapa" display="🔗 Ver Mapa" xr:uid="{00000000-0004-0000-0000-0000500F0000}"/>
    <hyperlink ref="L3942" r:id="rId3922" tooltip="🔗 Ver Mapa" display="🔗 Ver Mapa" xr:uid="{00000000-0004-0000-0000-0000510F0000}"/>
    <hyperlink ref="L3943" r:id="rId3923" tooltip="🔗 Ver Mapa" display="🔗 Ver Mapa" xr:uid="{00000000-0004-0000-0000-0000520F0000}"/>
    <hyperlink ref="L3944" r:id="rId3924" tooltip="🔗 Ver Mapa" display="🔗 Ver Mapa" xr:uid="{00000000-0004-0000-0000-0000530F0000}"/>
    <hyperlink ref="L3945" r:id="rId3925" tooltip="🔗 Ver Mapa" display="🔗 Ver Mapa" xr:uid="{00000000-0004-0000-0000-0000540F0000}"/>
    <hyperlink ref="L3946" r:id="rId3926" tooltip="🔗 Ver Mapa" display="🔗 Ver Mapa" xr:uid="{00000000-0004-0000-0000-0000550F0000}"/>
    <hyperlink ref="L3947" r:id="rId3927" tooltip="🔗 Ver Mapa" display="🔗 Ver Mapa" xr:uid="{00000000-0004-0000-0000-0000560F0000}"/>
    <hyperlink ref="L3948" r:id="rId3928" tooltip="🔗 Ver Mapa" display="🔗 Ver Mapa" xr:uid="{00000000-0004-0000-0000-0000570F0000}"/>
    <hyperlink ref="L3949" r:id="rId3929" tooltip="🔗 Ver Mapa" display="🔗 Ver Mapa" xr:uid="{00000000-0004-0000-0000-0000580F0000}"/>
    <hyperlink ref="L3950" r:id="rId3930" tooltip="🔗 Ver Mapa" display="🔗 Ver Mapa" xr:uid="{00000000-0004-0000-0000-0000590F0000}"/>
    <hyperlink ref="L3951" r:id="rId3931" tooltip="🔗 Ver Mapa" display="🔗 Ver Mapa" xr:uid="{00000000-0004-0000-0000-00005A0F0000}"/>
    <hyperlink ref="L3952" r:id="rId3932" tooltip="🔗 Ver Mapa" display="🔗 Ver Mapa" xr:uid="{00000000-0004-0000-0000-00005B0F0000}"/>
    <hyperlink ref="L3953" r:id="rId3933" tooltip="🔗 Ver Mapa" display="🔗 Ver Mapa" xr:uid="{00000000-0004-0000-0000-00005C0F0000}"/>
    <hyperlink ref="L3954" r:id="rId3934" tooltip="🔗 Ver Mapa" display="🔗 Ver Mapa" xr:uid="{00000000-0004-0000-0000-00005D0F0000}"/>
    <hyperlink ref="L3955" r:id="rId3935" tooltip="🔗 Ver Mapa" display="🔗 Ver Mapa" xr:uid="{00000000-0004-0000-0000-00005E0F0000}"/>
    <hyperlink ref="L3956" r:id="rId3936" tooltip="🔗 Ver Mapa" display="🔗 Ver Mapa" xr:uid="{00000000-0004-0000-0000-00005F0F0000}"/>
    <hyperlink ref="L3957" r:id="rId3937" tooltip="🔗 Ver Mapa" display="🔗 Ver Mapa" xr:uid="{00000000-0004-0000-0000-0000600F0000}"/>
    <hyperlink ref="L3958" r:id="rId3938" tooltip="🔗 Ver Mapa" display="🔗 Ver Mapa" xr:uid="{00000000-0004-0000-0000-0000610F0000}"/>
    <hyperlink ref="L3959" r:id="rId3939" tooltip="🔗 Ver Mapa" display="🔗 Ver Mapa" xr:uid="{00000000-0004-0000-0000-0000620F0000}"/>
    <hyperlink ref="L3960" r:id="rId3940" tooltip="🔗 Ver Mapa" display="🔗 Ver Mapa" xr:uid="{00000000-0004-0000-0000-0000630F0000}"/>
    <hyperlink ref="L3961" r:id="rId3941" tooltip="🔗 Ver Mapa" display="🔗 Ver Mapa" xr:uid="{00000000-0004-0000-0000-0000640F0000}"/>
    <hyperlink ref="L3962" r:id="rId3942" tooltip="🔗 Ver Mapa" display="🔗 Ver Mapa" xr:uid="{00000000-0004-0000-0000-0000650F0000}"/>
    <hyperlink ref="L3963" r:id="rId3943" tooltip="🔗 Ver Mapa" display="🔗 Ver Mapa" xr:uid="{00000000-0004-0000-0000-0000660F0000}"/>
    <hyperlink ref="L3964" r:id="rId3944" tooltip="🔗 Ver Mapa" display="🔗 Ver Mapa" xr:uid="{00000000-0004-0000-0000-0000670F0000}"/>
    <hyperlink ref="L3965" r:id="rId3945" tooltip="🔗 Ver Mapa" display="🔗 Ver Mapa" xr:uid="{00000000-0004-0000-0000-0000680F0000}"/>
    <hyperlink ref="L3966" r:id="rId3946" tooltip="🔗 Ver Mapa" display="🔗 Ver Mapa" xr:uid="{00000000-0004-0000-0000-0000690F0000}"/>
    <hyperlink ref="L3967" r:id="rId3947" tooltip="🔗 Ver Mapa" display="🔗 Ver Mapa" xr:uid="{00000000-0004-0000-0000-00006A0F0000}"/>
    <hyperlink ref="L3968" r:id="rId3948" tooltip="🔗 Ver Mapa" display="🔗 Ver Mapa" xr:uid="{00000000-0004-0000-0000-00006B0F0000}"/>
    <hyperlink ref="L3969" r:id="rId3949" tooltip="🔗 Ver Mapa" display="🔗 Ver Mapa" xr:uid="{00000000-0004-0000-0000-00006C0F0000}"/>
    <hyperlink ref="L3970" r:id="rId3950" tooltip="🔗 Ver Mapa" display="🔗 Ver Mapa" xr:uid="{00000000-0004-0000-0000-00006D0F0000}"/>
    <hyperlink ref="L3971" r:id="rId3951" tooltip="🔗 Ver Mapa" display="🔗 Ver Mapa" xr:uid="{00000000-0004-0000-0000-00006E0F0000}"/>
    <hyperlink ref="L3972" r:id="rId3952" tooltip="🔗 Ver Mapa" display="🔗 Ver Mapa" xr:uid="{00000000-0004-0000-0000-00006F0F0000}"/>
    <hyperlink ref="L3973" r:id="rId3953" tooltip="🔗 Ver Mapa" display="🔗 Ver Mapa" xr:uid="{00000000-0004-0000-0000-0000700F0000}"/>
    <hyperlink ref="L3974" r:id="rId3954" tooltip="🔗 Ver Mapa" display="🔗 Ver Mapa" xr:uid="{00000000-0004-0000-0000-0000710F0000}"/>
    <hyperlink ref="L3975" r:id="rId3955" tooltip="🔗 Ver Mapa" display="🔗 Ver Mapa" xr:uid="{00000000-0004-0000-0000-0000720F0000}"/>
    <hyperlink ref="L3976" r:id="rId3956" tooltip="🔗 Ver Mapa" display="🔗 Ver Mapa" xr:uid="{00000000-0004-0000-0000-0000730F0000}"/>
    <hyperlink ref="L3977" r:id="rId3957" tooltip="🔗 Ver Mapa" display="🔗 Ver Mapa" xr:uid="{00000000-0004-0000-0000-0000740F0000}"/>
    <hyperlink ref="L3978" r:id="rId3958" tooltip="🔗 Ver Mapa" display="🔗 Ver Mapa" xr:uid="{00000000-0004-0000-0000-0000750F0000}"/>
    <hyperlink ref="L3979" r:id="rId3959" tooltip="🔗 Ver Mapa" display="🔗 Ver Mapa" xr:uid="{00000000-0004-0000-0000-0000760F0000}"/>
    <hyperlink ref="L3980" r:id="rId3960" tooltip="🔗 Ver Mapa" display="🔗 Ver Mapa" xr:uid="{00000000-0004-0000-0000-0000770F0000}"/>
    <hyperlink ref="L3981" r:id="rId3961" tooltip="🔗 Ver Mapa" display="🔗 Ver Mapa" xr:uid="{00000000-0004-0000-0000-0000780F0000}"/>
    <hyperlink ref="L3982" r:id="rId3962" tooltip="🔗 Ver Mapa" display="🔗 Ver Mapa" xr:uid="{00000000-0004-0000-0000-0000790F0000}"/>
    <hyperlink ref="L3983" r:id="rId3963" tooltip="🔗 Ver Mapa" display="🔗 Ver Mapa" xr:uid="{00000000-0004-0000-0000-00007A0F0000}"/>
    <hyperlink ref="L3984" r:id="rId3964" tooltip="🔗 Ver Mapa" display="🔗 Ver Mapa" xr:uid="{00000000-0004-0000-0000-00007B0F0000}"/>
    <hyperlink ref="L3985" r:id="rId3965" tooltip="🔗 Ver Mapa" display="🔗 Ver Mapa" xr:uid="{00000000-0004-0000-0000-00007C0F0000}"/>
    <hyperlink ref="L3986" r:id="rId3966" tooltip="🔗 Ver Mapa" display="🔗 Ver Mapa" xr:uid="{00000000-0004-0000-0000-00007D0F0000}"/>
    <hyperlink ref="L3987" r:id="rId3967" tooltip="🔗 Ver Mapa" display="🔗 Ver Mapa" xr:uid="{00000000-0004-0000-0000-00007E0F0000}"/>
    <hyperlink ref="L3988" r:id="rId3968" tooltip="🔗 Ver Mapa" display="🔗 Ver Mapa" xr:uid="{00000000-0004-0000-0000-00007F0F0000}"/>
    <hyperlink ref="L3989" r:id="rId3969" tooltip="🔗 Ver Mapa" display="🔗 Ver Mapa" xr:uid="{00000000-0004-0000-0000-0000800F0000}"/>
    <hyperlink ref="L3990" r:id="rId3970" tooltip="🔗 Ver Mapa" display="🔗 Ver Mapa" xr:uid="{00000000-0004-0000-0000-0000810F0000}"/>
    <hyperlink ref="L3991" r:id="rId3971" tooltip="🔗 Ver Mapa" display="🔗 Ver Mapa" xr:uid="{00000000-0004-0000-0000-0000820F0000}"/>
    <hyperlink ref="L3992" r:id="rId3972" tooltip="🔗 Ver Mapa" display="🔗 Ver Mapa" xr:uid="{00000000-0004-0000-0000-0000830F0000}"/>
    <hyperlink ref="L3993" r:id="rId3973" tooltip="🔗 Ver Mapa" display="🔗 Ver Mapa" xr:uid="{00000000-0004-0000-0000-0000840F0000}"/>
    <hyperlink ref="L3994" r:id="rId3974" tooltip="🔗 Ver Mapa" display="🔗 Ver Mapa" xr:uid="{00000000-0004-0000-0000-0000850F0000}"/>
    <hyperlink ref="L3995" r:id="rId3975" tooltip="🔗 Ver Mapa" display="🔗 Ver Mapa" xr:uid="{00000000-0004-0000-0000-0000860F0000}"/>
    <hyperlink ref="L3996" r:id="rId3976" tooltip="🔗 Ver Mapa" display="🔗 Ver Mapa" xr:uid="{00000000-0004-0000-0000-0000870F0000}"/>
    <hyperlink ref="L3997" r:id="rId3977" tooltip="🔗 Ver Mapa" display="🔗 Ver Mapa" xr:uid="{00000000-0004-0000-0000-0000880F0000}"/>
    <hyperlink ref="L3998" r:id="rId3978" tooltip="🔗 Ver Mapa" display="🔗 Ver Mapa" xr:uid="{00000000-0004-0000-0000-0000890F0000}"/>
    <hyperlink ref="L3999" r:id="rId3979" tooltip="🔗 Ver Mapa" display="🔗 Ver Mapa" xr:uid="{00000000-0004-0000-0000-00008A0F0000}"/>
    <hyperlink ref="L4000" r:id="rId3980" tooltip="🔗 Ver Mapa" display="🔗 Ver Mapa" xr:uid="{00000000-0004-0000-0000-00008B0F0000}"/>
    <hyperlink ref="L4001" r:id="rId3981" tooltip="🔗 Ver Mapa" display="🔗 Ver Mapa" xr:uid="{00000000-0004-0000-0000-00008C0F0000}"/>
    <hyperlink ref="L4002" r:id="rId3982" tooltip="🔗 Ver Mapa" display="🔗 Ver Mapa" xr:uid="{00000000-0004-0000-0000-00008D0F0000}"/>
    <hyperlink ref="L4003" r:id="rId3983" tooltip="🔗 Ver Mapa" display="🔗 Ver Mapa" xr:uid="{00000000-0004-0000-0000-00008E0F0000}"/>
    <hyperlink ref="L4004" r:id="rId3984" tooltip="🔗 Ver Mapa" display="🔗 Ver Mapa" xr:uid="{00000000-0004-0000-0000-00008F0F0000}"/>
    <hyperlink ref="L4005" r:id="rId3985" tooltip="🔗 Ver Mapa" display="🔗 Ver Mapa" xr:uid="{00000000-0004-0000-0000-0000900F0000}"/>
    <hyperlink ref="L4006" r:id="rId3986" tooltip="🔗 Ver Mapa" display="🔗 Ver Mapa" xr:uid="{00000000-0004-0000-0000-0000910F0000}"/>
    <hyperlink ref="L4007" r:id="rId3987" tooltip="🔗 Ver Mapa" display="🔗 Ver Mapa" xr:uid="{00000000-0004-0000-0000-0000920F0000}"/>
    <hyperlink ref="L4008" r:id="rId3988" tooltip="🔗 Ver Mapa" display="🔗 Ver Mapa" xr:uid="{00000000-0004-0000-0000-0000930F0000}"/>
    <hyperlink ref="L4009" r:id="rId3989" tooltip="🔗 Ver Mapa" display="🔗 Ver Mapa" xr:uid="{00000000-0004-0000-0000-0000940F0000}"/>
    <hyperlink ref="L4010" r:id="rId3990" tooltip="🔗 Ver Mapa" display="🔗 Ver Mapa" xr:uid="{00000000-0004-0000-0000-0000950F0000}"/>
    <hyperlink ref="L4011" r:id="rId3991" tooltip="🔗 Ver Mapa" display="🔗 Ver Mapa" xr:uid="{00000000-0004-0000-0000-0000960F0000}"/>
    <hyperlink ref="L4012" r:id="rId3992" tooltip="🔗 Ver Mapa" display="🔗 Ver Mapa" xr:uid="{00000000-0004-0000-0000-0000970F0000}"/>
    <hyperlink ref="L4013" r:id="rId3993" tooltip="🔗 Ver Mapa" display="🔗 Ver Mapa" xr:uid="{00000000-0004-0000-0000-0000980F0000}"/>
    <hyperlink ref="L4014" r:id="rId3994" tooltip="🔗 Ver Mapa" display="🔗 Ver Mapa" xr:uid="{00000000-0004-0000-0000-0000990F0000}"/>
    <hyperlink ref="L4015" r:id="rId3995" tooltip="🔗 Ver Mapa" display="🔗 Ver Mapa" xr:uid="{00000000-0004-0000-0000-00009A0F0000}"/>
    <hyperlink ref="L4016" r:id="rId3996" tooltip="🔗 Ver Mapa" display="🔗 Ver Mapa" xr:uid="{00000000-0004-0000-0000-00009B0F0000}"/>
    <hyperlink ref="L4017" r:id="rId3997" tooltip="🔗 Ver Mapa" display="🔗 Ver Mapa" xr:uid="{00000000-0004-0000-0000-00009C0F0000}"/>
    <hyperlink ref="L4018" r:id="rId3998" tooltip="🔗 Ver Mapa" display="🔗 Ver Mapa" xr:uid="{00000000-0004-0000-0000-00009D0F0000}"/>
    <hyperlink ref="L4019" r:id="rId3999" tooltip="🔗 Ver Mapa" display="🔗 Ver Mapa" xr:uid="{00000000-0004-0000-0000-00009E0F0000}"/>
    <hyperlink ref="L4020" r:id="rId4000" tooltip="🔗 Ver Mapa" display="🔗 Ver Mapa" xr:uid="{00000000-0004-0000-0000-00009F0F0000}"/>
    <hyperlink ref="L4021" r:id="rId4001" tooltip="🔗 Ver Mapa" display="🔗 Ver Mapa" xr:uid="{00000000-0004-0000-0000-0000A00F0000}"/>
    <hyperlink ref="L4022" r:id="rId4002" tooltip="🔗 Ver Mapa" display="🔗 Ver Mapa" xr:uid="{00000000-0004-0000-0000-0000A10F0000}"/>
    <hyperlink ref="L4023" r:id="rId4003" tooltip="🔗 Ver Mapa" display="🔗 Ver Mapa" xr:uid="{00000000-0004-0000-0000-0000A20F0000}"/>
    <hyperlink ref="L4024" r:id="rId4004" tooltip="🔗 Ver Mapa" display="🔗 Ver Mapa" xr:uid="{00000000-0004-0000-0000-0000A30F0000}"/>
    <hyperlink ref="L4025" r:id="rId4005" tooltip="🔗 Ver Mapa" display="🔗 Ver Mapa" xr:uid="{00000000-0004-0000-0000-0000A40F0000}"/>
    <hyperlink ref="L4026" r:id="rId4006" tooltip="🔗 Ver Mapa" display="🔗 Ver Mapa" xr:uid="{00000000-0004-0000-0000-0000A50F0000}"/>
    <hyperlink ref="L4027" r:id="rId4007" tooltip="🔗 Ver Mapa" display="🔗 Ver Mapa" xr:uid="{00000000-0004-0000-0000-0000A60F0000}"/>
    <hyperlink ref="L4028" r:id="rId4008" tooltip="🔗 Ver Mapa" display="🔗 Ver Mapa" xr:uid="{00000000-0004-0000-0000-0000A70F0000}"/>
    <hyperlink ref="L4029" r:id="rId4009" tooltip="🔗 Ver Mapa" display="🔗 Ver Mapa" xr:uid="{00000000-0004-0000-0000-0000A80F0000}"/>
  </hyperlinks>
  <pageMargins left="0.25" right="0.25" top="0.75" bottom="0.75" header="0.3" footer="0.3"/>
  <pageSetup paperSize="173" scale="43" fitToHeight="0" orientation="landscape" horizontalDpi="300" verticalDpi="300" r:id="rId4010"/>
  <headerFooter>
    <oddFooter>&amp;L&amp;BPagina &amp;P of &amp;N</oddFooter>
  </headerFooter>
  <drawing r:id="rId40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Resumen</vt:lpstr>
      <vt:lpstr>Georreferencias</vt:lpstr>
      <vt:lpstr>Georreferencias!Títulos_a_imprimir</vt:lpstr>
      <vt:lpstr>Resumen!Títulos_a_imprimir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Luis Adrian Niño López</cp:lastModifiedBy>
  <cp:lastPrinted>2025-07-30T17:34:51Z</cp:lastPrinted>
  <dcterms:created xsi:type="dcterms:W3CDTF">2025-07-23T23:29:20Z</dcterms:created>
  <dcterms:modified xsi:type="dcterms:W3CDTF">2025-07-30T17:35:25Z</dcterms:modified>
  <cp:category/>
</cp:coreProperties>
</file>